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nouvelon-my.sharepoint.com/personal/michel_seguin_nouvelon_ca/Documents/COVID-19/VENTILATION/"/>
    </mc:Choice>
  </mc:AlternateContent>
  <xr:revisionPtr revIDLastSave="5" documentId="8_{FD425B15-93AF-41B2-8261-D24A45ADA116}" xr6:coauthVersionLast="47" xr6:coauthVersionMax="47" xr10:uidLastSave="{9589DF17-E634-4F11-BB77-5CABE2154B5C}"/>
  <workbookProtection workbookAlgorithmName="SHA-512" workbookHashValue="H+3UbdRaRGNs3PNoX0l48oyd5FgTAgSoTtKRf1b5THhEj7SsojPaPQzIbMQN7tinp5DZQraT51NdGsP0hJItzw==" workbookSaltValue="uBFO0OuV9Pta17rcyEqhKw==" workbookSpinCount="100000" lockStructure="1"/>
  <bookViews>
    <workbookView xWindow="-120" yWindow="-120" windowWidth="24240" windowHeight="17790" tabRatio="801" activeTab="2" xr2:uid="{4E001882-94D2-4561-8C24-2FC025358A5D}"/>
  </bookViews>
  <sheets>
    <sheet name="1. Stratégie de ventilation" sheetId="6" r:id="rId1"/>
    <sheet name="2. Investissements du conseil" sheetId="3" r:id="rId2"/>
    <sheet name="3. Tableau de bord de l’école" sheetId="4" r:id="rId3"/>
    <sheet name="4. Feuille pour le conseil" sheetId="2" state="hidden" r:id="rId4"/>
    <sheet name="5. Feuille pour les écoles" sheetId="7" state="hidden" r:id="rId5"/>
    <sheet name="données sur les projets" sheetId="11" state="hidden" r:id="rId6"/>
    <sheet name="Funding Tables" sheetId="9" state="hidden" r:id="rId7"/>
    <sheet name="Board Ventilation Strate-PY" sheetId="10" state="hidden" r:id="rId8"/>
  </sheets>
  <externalReferences>
    <externalReference r:id="rId9"/>
    <externalReference r:id="rId10"/>
  </externalReferences>
  <definedNames>
    <definedName name="_xlnm._FilterDatabase" localSheetId="4" hidden="1">'5. Feuille pour les écoles'!#REF!</definedName>
    <definedName name="_xlnm._FilterDatabase" localSheetId="7" hidden="1">'Board Ventilation Strate-PY'!$B$1:$C$291</definedName>
    <definedName name="_xlnm._FilterDatabase" localSheetId="6" hidden="1">'Funding Tables'!$A$2:$C$2</definedName>
    <definedName name="School_Name" localSheetId="7">[1]!Table1[Name of School Facility]</definedName>
    <definedName name="School_Name" localSheetId="6">[2]!Table1[Name of School Facility]</definedName>
    <definedName name="School_Name">Table1[Nom de l’établissement scolaire]</definedName>
    <definedName name="Ventilation" localSheetId="7">[1]!HVAC_Type[HVAC System Type]</definedName>
    <definedName name="Ventilation" localSheetId="6">HVAC_Type3[HVAC System Type]</definedName>
    <definedName name="Ventil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8" i="2" l="1"/>
  <c r="V18" i="2"/>
  <c r="U18" i="2"/>
  <c r="T18" i="2"/>
  <c r="P18" i="2"/>
  <c r="O18" i="2"/>
  <c r="N18" i="2"/>
  <c r="J18" i="2"/>
  <c r="I18" i="2"/>
  <c r="G18" i="2"/>
  <c r="E18" i="2"/>
  <c r="S18" i="2"/>
  <c r="H43" i="11"/>
  <c r="C24" i="2"/>
  <c r="G38" i="11" l="1"/>
  <c r="G37" i="11"/>
  <c r="G32" i="11"/>
  <c r="G23" i="11"/>
  <c r="G20" i="11"/>
  <c r="G14" i="11"/>
  <c r="G6" i="11"/>
  <c r="J43" i="7"/>
  <c r="J28" i="7"/>
  <c r="C21" i="2" l="1"/>
  <c r="C18" i="2" l="1"/>
  <c r="C19" i="2"/>
  <c r="A288" i="10"/>
  <c r="A289" i="10" s="1"/>
  <c r="A290" i="10" s="1"/>
  <c r="A291" i="10" s="1"/>
  <c r="D287" i="10" l="1"/>
  <c r="D286" i="10"/>
  <c r="D285" i="10"/>
  <c r="D284" i="10"/>
  <c r="A284" i="10"/>
  <c r="A285" i="10" s="1"/>
  <c r="A286" i="10" s="1"/>
  <c r="A287" i="10" s="1"/>
  <c r="D283" i="10"/>
  <c r="D282" i="10"/>
  <c r="D281" i="10"/>
  <c r="D280" i="10"/>
  <c r="A280" i="10"/>
  <c r="A281" i="10" s="1"/>
  <c r="A282" i="10" s="1"/>
  <c r="A283" i="10" s="1"/>
  <c r="D279" i="10"/>
  <c r="D278" i="10"/>
  <c r="D277" i="10"/>
  <c r="D276" i="10"/>
  <c r="A276" i="10"/>
  <c r="A277" i="10" s="1"/>
  <c r="A278" i="10" s="1"/>
  <c r="A279" i="10" s="1"/>
  <c r="D275" i="10"/>
  <c r="D274" i="10"/>
  <c r="D273" i="10"/>
  <c r="D272" i="10"/>
  <c r="A272" i="10"/>
  <c r="A273" i="10" s="1"/>
  <c r="A274" i="10" s="1"/>
  <c r="A275" i="10" s="1"/>
  <c r="D271" i="10"/>
  <c r="D270" i="10"/>
  <c r="D269" i="10"/>
  <c r="D268" i="10"/>
  <c r="A268" i="10"/>
  <c r="A269" i="10" s="1"/>
  <c r="A270" i="10" s="1"/>
  <c r="A271" i="10" s="1"/>
  <c r="D267" i="10"/>
  <c r="D266" i="10"/>
  <c r="D265" i="10"/>
  <c r="D264" i="10"/>
  <c r="A264" i="10"/>
  <c r="A265" i="10" s="1"/>
  <c r="A266" i="10" s="1"/>
  <c r="A267" i="10" s="1"/>
  <c r="D263" i="10"/>
  <c r="D262" i="10"/>
  <c r="D261" i="10"/>
  <c r="D260" i="10"/>
  <c r="A260" i="10"/>
  <c r="A261" i="10" s="1"/>
  <c r="A262" i="10" s="1"/>
  <c r="A263" i="10" s="1"/>
  <c r="D259" i="10"/>
  <c r="D258" i="10"/>
  <c r="D257" i="10"/>
  <c r="D256" i="10"/>
  <c r="A256" i="10"/>
  <c r="A257" i="10" s="1"/>
  <c r="A258" i="10" s="1"/>
  <c r="A259" i="10" s="1"/>
  <c r="D255" i="10"/>
  <c r="D254" i="10"/>
  <c r="D253" i="10"/>
  <c r="D252" i="10"/>
  <c r="A252" i="10"/>
  <c r="A253" i="10" s="1"/>
  <c r="A254" i="10" s="1"/>
  <c r="A255" i="10" s="1"/>
  <c r="D251" i="10"/>
  <c r="D250" i="10"/>
  <c r="D249" i="10"/>
  <c r="D248" i="10"/>
  <c r="A248" i="10"/>
  <c r="A249" i="10" s="1"/>
  <c r="A250" i="10" s="1"/>
  <c r="A251" i="10" s="1"/>
  <c r="D247" i="10"/>
  <c r="D246" i="10"/>
  <c r="D245" i="10"/>
  <c r="D244" i="10"/>
  <c r="A244" i="10"/>
  <c r="A245" i="10" s="1"/>
  <c r="A246" i="10" s="1"/>
  <c r="A247" i="10" s="1"/>
  <c r="D243" i="10"/>
  <c r="D242" i="10"/>
  <c r="D241" i="10"/>
  <c r="D240" i="10"/>
  <c r="A240" i="10"/>
  <c r="A241" i="10" s="1"/>
  <c r="A242" i="10" s="1"/>
  <c r="A243" i="10" s="1"/>
  <c r="D239" i="10"/>
  <c r="D238" i="10"/>
  <c r="D237" i="10"/>
  <c r="D236" i="10"/>
  <c r="A236" i="10"/>
  <c r="A237" i="10" s="1"/>
  <c r="A238" i="10" s="1"/>
  <c r="A239" i="10" s="1"/>
  <c r="D235" i="10"/>
  <c r="D234" i="10"/>
  <c r="D233" i="10"/>
  <c r="D232" i="10"/>
  <c r="A232" i="10"/>
  <c r="A233" i="10" s="1"/>
  <c r="A234" i="10" s="1"/>
  <c r="A235" i="10" s="1"/>
  <c r="D231" i="10"/>
  <c r="D230" i="10"/>
  <c r="D229" i="10"/>
  <c r="D228" i="10"/>
  <c r="A228" i="10"/>
  <c r="A229" i="10" s="1"/>
  <c r="A230" i="10" s="1"/>
  <c r="A231" i="10" s="1"/>
  <c r="D227" i="10"/>
  <c r="D226" i="10"/>
  <c r="D225" i="10"/>
  <c r="D224" i="10"/>
  <c r="A224" i="10"/>
  <c r="A225" i="10" s="1"/>
  <c r="A226" i="10" s="1"/>
  <c r="A227" i="10" s="1"/>
  <c r="D223" i="10"/>
  <c r="D222" i="10"/>
  <c r="D221" i="10"/>
  <c r="D220" i="10"/>
  <c r="A220" i="10"/>
  <c r="A221" i="10" s="1"/>
  <c r="A222" i="10" s="1"/>
  <c r="A223" i="10" s="1"/>
  <c r="D219" i="10"/>
  <c r="D218" i="10"/>
  <c r="D217" i="10"/>
  <c r="D216" i="10"/>
  <c r="A216" i="10"/>
  <c r="A217" i="10" s="1"/>
  <c r="A218" i="10" s="1"/>
  <c r="A219" i="10" s="1"/>
  <c r="D215" i="10"/>
  <c r="D214" i="10"/>
  <c r="D213" i="10"/>
  <c r="D212" i="10"/>
  <c r="A212" i="10"/>
  <c r="A213" i="10" s="1"/>
  <c r="A214" i="10" s="1"/>
  <c r="A215" i="10" s="1"/>
  <c r="D211" i="10"/>
  <c r="D210" i="10"/>
  <c r="D209" i="10"/>
  <c r="D208" i="10"/>
  <c r="A208" i="10"/>
  <c r="A209" i="10" s="1"/>
  <c r="A210" i="10" s="1"/>
  <c r="A211" i="10" s="1"/>
  <c r="D207" i="10"/>
  <c r="D206" i="10"/>
  <c r="D205" i="10"/>
  <c r="D204" i="10"/>
  <c r="A204" i="10"/>
  <c r="A205" i="10" s="1"/>
  <c r="A206" i="10" s="1"/>
  <c r="A207" i="10" s="1"/>
  <c r="D203" i="10"/>
  <c r="D202" i="10"/>
  <c r="D201" i="10"/>
  <c r="D200" i="10"/>
  <c r="A200" i="10"/>
  <c r="A201" i="10" s="1"/>
  <c r="A202" i="10" s="1"/>
  <c r="A203" i="10" s="1"/>
  <c r="D199" i="10"/>
  <c r="D198" i="10"/>
  <c r="D197" i="10"/>
  <c r="D196" i="10"/>
  <c r="A196" i="10"/>
  <c r="A197" i="10" s="1"/>
  <c r="A198" i="10" s="1"/>
  <c r="A199" i="10" s="1"/>
  <c r="D195" i="10"/>
  <c r="D194" i="10"/>
  <c r="D193" i="10"/>
  <c r="D192" i="10"/>
  <c r="A192" i="10"/>
  <c r="A193" i="10" s="1"/>
  <c r="A194" i="10" s="1"/>
  <c r="A195" i="10" s="1"/>
  <c r="D191" i="10"/>
  <c r="D190" i="10"/>
  <c r="D189" i="10"/>
  <c r="D188" i="10"/>
  <c r="D187" i="10"/>
  <c r="D186" i="10"/>
  <c r="A186" i="10"/>
  <c r="A187" i="10" s="1"/>
  <c r="A188" i="10" s="1"/>
  <c r="A189" i="10" s="1"/>
  <c r="A190" i="10" s="1"/>
  <c r="A191" i="10" s="1"/>
  <c r="D185" i="10"/>
  <c r="D184" i="10"/>
  <c r="D183" i="10"/>
  <c r="D182" i="10"/>
  <c r="A182" i="10"/>
  <c r="A183" i="10" s="1"/>
  <c r="A184" i="10" s="1"/>
  <c r="A185" i="10" s="1"/>
  <c r="D181" i="10"/>
  <c r="D180" i="10"/>
  <c r="D179" i="10"/>
  <c r="D178" i="10"/>
  <c r="A178" i="10"/>
  <c r="A179" i="10" s="1"/>
  <c r="A180" i="10" s="1"/>
  <c r="A181" i="10" s="1"/>
  <c r="D177" i="10"/>
  <c r="D176" i="10"/>
  <c r="D175" i="10"/>
  <c r="D174" i="10"/>
  <c r="A174" i="10"/>
  <c r="A175" i="10" s="1"/>
  <c r="A176" i="10" s="1"/>
  <c r="A177" i="10" s="1"/>
  <c r="D173" i="10"/>
  <c r="D172" i="10"/>
  <c r="D171" i="10"/>
  <c r="D170" i="10"/>
  <c r="A170" i="10"/>
  <c r="A171" i="10" s="1"/>
  <c r="A172" i="10" s="1"/>
  <c r="A173" i="10" s="1"/>
  <c r="D169" i="10"/>
  <c r="D168" i="10"/>
  <c r="D167" i="10"/>
  <c r="D166" i="10"/>
  <c r="A166" i="10"/>
  <c r="A167" i="10" s="1"/>
  <c r="A168" i="10" s="1"/>
  <c r="A169" i="10" s="1"/>
  <c r="D165" i="10"/>
  <c r="D164" i="10"/>
  <c r="D163" i="10"/>
  <c r="D162" i="10"/>
  <c r="A162" i="10"/>
  <c r="A163" i="10" s="1"/>
  <c r="A164" i="10" s="1"/>
  <c r="A165" i="10" s="1"/>
  <c r="D161" i="10"/>
  <c r="D160" i="10"/>
  <c r="D159" i="10"/>
  <c r="D158" i="10"/>
  <c r="A158" i="10"/>
  <c r="A159" i="10" s="1"/>
  <c r="A160" i="10" s="1"/>
  <c r="A161" i="10" s="1"/>
  <c r="D157" i="10"/>
  <c r="D156" i="10"/>
  <c r="D155" i="10"/>
  <c r="D154" i="10"/>
  <c r="A154" i="10"/>
  <c r="A155" i="10" s="1"/>
  <c r="A156" i="10" s="1"/>
  <c r="A157" i="10" s="1"/>
  <c r="D153" i="10"/>
  <c r="D152" i="10"/>
  <c r="D151" i="10"/>
  <c r="D150" i="10"/>
  <c r="A150" i="10"/>
  <c r="A151" i="10" s="1"/>
  <c r="A152" i="10" s="1"/>
  <c r="A153" i="10" s="1"/>
  <c r="D149" i="10"/>
  <c r="D148" i="10"/>
  <c r="D147" i="10"/>
  <c r="D146" i="10"/>
  <c r="A146" i="10"/>
  <c r="A147" i="10" s="1"/>
  <c r="A148" i="10" s="1"/>
  <c r="A149" i="10" s="1"/>
  <c r="D145" i="10"/>
  <c r="D144" i="10"/>
  <c r="D143" i="10"/>
  <c r="D142" i="10"/>
  <c r="A142" i="10"/>
  <c r="A143" i="10" s="1"/>
  <c r="A144" i="10" s="1"/>
  <c r="A145" i="10" s="1"/>
  <c r="D141" i="10"/>
  <c r="D140" i="10"/>
  <c r="D139" i="10"/>
  <c r="D138" i="10"/>
  <c r="A138" i="10"/>
  <c r="A139" i="10" s="1"/>
  <c r="A140" i="10" s="1"/>
  <c r="A141" i="10" s="1"/>
  <c r="D137" i="10"/>
  <c r="D136" i="10"/>
  <c r="D135" i="10"/>
  <c r="D134" i="10"/>
  <c r="A134" i="10"/>
  <c r="A135" i="10" s="1"/>
  <c r="A136" i="10" s="1"/>
  <c r="A137" i="10" s="1"/>
  <c r="D133" i="10"/>
  <c r="D132" i="10"/>
  <c r="D131" i="10"/>
  <c r="D130" i="10"/>
  <c r="A130" i="10"/>
  <c r="A131" i="10" s="1"/>
  <c r="A132" i="10" s="1"/>
  <c r="A133" i="10" s="1"/>
  <c r="D129" i="10"/>
  <c r="D128" i="10"/>
  <c r="D127" i="10"/>
  <c r="D126" i="10"/>
  <c r="A126" i="10"/>
  <c r="A127" i="10" s="1"/>
  <c r="A128" i="10" s="1"/>
  <c r="A129" i="10" s="1"/>
  <c r="D125" i="10"/>
  <c r="D124" i="10"/>
  <c r="D123" i="10"/>
  <c r="D122" i="10"/>
  <c r="A122" i="10"/>
  <c r="A123" i="10" s="1"/>
  <c r="A124" i="10" s="1"/>
  <c r="A125" i="10" s="1"/>
  <c r="D121" i="10"/>
  <c r="D120" i="10"/>
  <c r="D119" i="10"/>
  <c r="D118" i="10"/>
  <c r="A118" i="10"/>
  <c r="A119" i="10" s="1"/>
  <c r="A120" i="10" s="1"/>
  <c r="A121" i="10" s="1"/>
  <c r="D117" i="10"/>
  <c r="D116" i="10"/>
  <c r="D115" i="10"/>
  <c r="D114" i="10"/>
  <c r="A114" i="10"/>
  <c r="A115" i="10" s="1"/>
  <c r="A116" i="10" s="1"/>
  <c r="A117" i="10" s="1"/>
  <c r="D113" i="10"/>
  <c r="D112" i="10"/>
  <c r="D111" i="10"/>
  <c r="D110" i="10"/>
  <c r="A110" i="10"/>
  <c r="A111" i="10" s="1"/>
  <c r="A112" i="10" s="1"/>
  <c r="A113" i="10" s="1"/>
  <c r="D109" i="10"/>
  <c r="D108" i="10"/>
  <c r="D107" i="10"/>
  <c r="D106" i="10"/>
  <c r="A106" i="10"/>
  <c r="A107" i="10" s="1"/>
  <c r="A108" i="10" s="1"/>
  <c r="A109" i="10" s="1"/>
  <c r="D105" i="10"/>
  <c r="D104" i="10"/>
  <c r="D103" i="10"/>
  <c r="D102" i="10"/>
  <c r="A102" i="10"/>
  <c r="A103" i="10" s="1"/>
  <c r="A104" i="10" s="1"/>
  <c r="A105" i="10" s="1"/>
  <c r="D101" i="10"/>
  <c r="D100" i="10"/>
  <c r="D99" i="10"/>
  <c r="D98" i="10"/>
  <c r="A98" i="10"/>
  <c r="A99" i="10" s="1"/>
  <c r="A100" i="10" s="1"/>
  <c r="A101" i="10" s="1"/>
  <c r="D97" i="10"/>
  <c r="D96" i="10"/>
  <c r="D95" i="10"/>
  <c r="D94" i="10"/>
  <c r="A94" i="10"/>
  <c r="A95" i="10" s="1"/>
  <c r="A96" i="10" s="1"/>
  <c r="A97" i="10" s="1"/>
  <c r="D93" i="10"/>
  <c r="D92" i="10"/>
  <c r="D91" i="10"/>
  <c r="D90" i="10"/>
  <c r="A90" i="10"/>
  <c r="A91" i="10" s="1"/>
  <c r="A92" i="10" s="1"/>
  <c r="A93" i="10" s="1"/>
  <c r="D89" i="10"/>
  <c r="D88" i="10"/>
  <c r="D87" i="10"/>
  <c r="D86" i="10"/>
  <c r="A86" i="10"/>
  <c r="A87" i="10" s="1"/>
  <c r="A88" i="10" s="1"/>
  <c r="A89" i="10" s="1"/>
  <c r="D85" i="10"/>
  <c r="D84" i="10"/>
  <c r="D83" i="10"/>
  <c r="D82" i="10"/>
  <c r="A82" i="10"/>
  <c r="A83" i="10" s="1"/>
  <c r="A84" i="10" s="1"/>
  <c r="A85" i="10" s="1"/>
  <c r="D81" i="10"/>
  <c r="D80" i="10"/>
  <c r="D79" i="10"/>
  <c r="D78" i="10"/>
  <c r="A78" i="10"/>
  <c r="A79" i="10" s="1"/>
  <c r="A80" i="10" s="1"/>
  <c r="A81" i="10" s="1"/>
  <c r="D77" i="10"/>
  <c r="D76" i="10"/>
  <c r="D75" i="10"/>
  <c r="D74" i="10"/>
  <c r="A74" i="10"/>
  <c r="A75" i="10" s="1"/>
  <c r="A76" i="10" s="1"/>
  <c r="A77" i="10" s="1"/>
  <c r="D73" i="10"/>
  <c r="D72" i="10"/>
  <c r="D71" i="10"/>
  <c r="D70" i="10"/>
  <c r="A70" i="10"/>
  <c r="A71" i="10" s="1"/>
  <c r="A72" i="10" s="1"/>
  <c r="A73" i="10" s="1"/>
  <c r="D69" i="10"/>
  <c r="D68" i="10"/>
  <c r="D67" i="10"/>
  <c r="D66" i="10"/>
  <c r="A66" i="10"/>
  <c r="A67" i="10" s="1"/>
  <c r="A68" i="10" s="1"/>
  <c r="A69" i="10" s="1"/>
  <c r="D65" i="10"/>
  <c r="D64" i="10"/>
  <c r="D63" i="10"/>
  <c r="D62" i="10"/>
  <c r="A62" i="10"/>
  <c r="A63" i="10" s="1"/>
  <c r="A64" i="10" s="1"/>
  <c r="A65" i="10" s="1"/>
  <c r="D61" i="10"/>
  <c r="D60" i="10"/>
  <c r="D59" i="10"/>
  <c r="D58" i="10"/>
  <c r="A58" i="10"/>
  <c r="A59" i="10" s="1"/>
  <c r="A60" i="10" s="1"/>
  <c r="A61" i="10" s="1"/>
  <c r="D57" i="10"/>
  <c r="D56" i="10"/>
  <c r="D55" i="10"/>
  <c r="D54" i="10"/>
  <c r="A54" i="10"/>
  <c r="A55" i="10" s="1"/>
  <c r="A56" i="10" s="1"/>
  <c r="A57" i="10" s="1"/>
  <c r="D53" i="10"/>
  <c r="D52" i="10"/>
  <c r="D51" i="10"/>
  <c r="D50" i="10"/>
  <c r="A50" i="10"/>
  <c r="A51" i="10" s="1"/>
  <c r="A52" i="10" s="1"/>
  <c r="A53" i="10" s="1"/>
  <c r="D49" i="10"/>
  <c r="D48" i="10"/>
  <c r="D47" i="10"/>
  <c r="D46" i="10"/>
  <c r="A46" i="10"/>
  <c r="A47" i="10" s="1"/>
  <c r="A48" i="10" s="1"/>
  <c r="A49" i="10" s="1"/>
  <c r="D45" i="10"/>
  <c r="D44" i="10"/>
  <c r="D43" i="10"/>
  <c r="D42" i="10"/>
  <c r="A42" i="10"/>
  <c r="A43" i="10" s="1"/>
  <c r="A44" i="10" s="1"/>
  <c r="A45" i="10" s="1"/>
  <c r="D41" i="10"/>
  <c r="D40" i="10"/>
  <c r="D39" i="10"/>
  <c r="D38" i="10"/>
  <c r="A38" i="10"/>
  <c r="A39" i="10" s="1"/>
  <c r="A40" i="10" s="1"/>
  <c r="A41" i="10" s="1"/>
  <c r="D37" i="10"/>
  <c r="D36" i="10"/>
  <c r="D35" i="10"/>
  <c r="D34" i="10"/>
  <c r="A34" i="10"/>
  <c r="A35" i="10" s="1"/>
  <c r="A36" i="10" s="1"/>
  <c r="A37" i="10" s="1"/>
  <c r="D33" i="10"/>
  <c r="D32" i="10"/>
  <c r="D31" i="10"/>
  <c r="D30" i="10"/>
  <c r="A30" i="10"/>
  <c r="A31" i="10" s="1"/>
  <c r="A32" i="10" s="1"/>
  <c r="A33" i="10" s="1"/>
  <c r="D29" i="10"/>
  <c r="D28" i="10"/>
  <c r="D27" i="10"/>
  <c r="D26" i="10"/>
  <c r="A26" i="10"/>
  <c r="A27" i="10" s="1"/>
  <c r="A28" i="10" s="1"/>
  <c r="A29" i="10" s="1"/>
  <c r="D25" i="10"/>
  <c r="D24" i="10"/>
  <c r="D23" i="10"/>
  <c r="D22" i="10"/>
  <c r="A22" i="10"/>
  <c r="A23" i="10" s="1"/>
  <c r="A24" i="10" s="1"/>
  <c r="A25" i="10" s="1"/>
  <c r="D21" i="10"/>
  <c r="D20" i="10"/>
  <c r="D19" i="10"/>
  <c r="D18" i="10"/>
  <c r="A18" i="10"/>
  <c r="A19" i="10" s="1"/>
  <c r="A20" i="10" s="1"/>
  <c r="A21" i="10" s="1"/>
  <c r="D17" i="10"/>
  <c r="D16" i="10"/>
  <c r="D15" i="10"/>
  <c r="D14" i="10"/>
  <c r="A14" i="10"/>
  <c r="A15" i="10" s="1"/>
  <c r="A16" i="10" s="1"/>
  <c r="A17" i="10" s="1"/>
  <c r="D13" i="10"/>
  <c r="D12" i="10"/>
  <c r="D11" i="10"/>
  <c r="D10" i="10"/>
  <c r="A10" i="10"/>
  <c r="A11" i="10" s="1"/>
  <c r="A12" i="10" s="1"/>
  <c r="A13" i="10" s="1"/>
  <c r="D9" i="10"/>
  <c r="D8" i="10"/>
  <c r="D7" i="10"/>
  <c r="D6" i="10"/>
  <c r="A6" i="10"/>
  <c r="A7" i="10" s="1"/>
  <c r="A8" i="10" s="1"/>
  <c r="A9" i="10" s="1"/>
  <c r="D5" i="10"/>
  <c r="D4" i="10"/>
  <c r="D3" i="10"/>
  <c r="A3" i="10"/>
  <c r="A4" i="10" s="1"/>
  <c r="A5" i="10" s="1"/>
  <c r="D2" i="10"/>
  <c r="C11" i="2" l="1" a="1"/>
  <c r="C11" i="2" s="1"/>
  <c r="C8" i="2" a="1"/>
  <c r="C8" i="2" s="1"/>
  <c r="C9" i="2" a="1"/>
  <c r="C9" i="2" s="1"/>
  <c r="C10" i="2" a="1"/>
  <c r="C10" i="2" s="1"/>
  <c r="R18" i="2"/>
  <c r="M18" i="2"/>
  <c r="L18" i="2"/>
  <c r="K18" i="2"/>
  <c r="F18" i="2"/>
  <c r="V85" i="9"/>
  <c r="O85" i="9"/>
  <c r="N85" i="9"/>
  <c r="M85" i="9"/>
  <c r="L85" i="9"/>
  <c r="K85" i="9"/>
  <c r="V84" i="9"/>
  <c r="O84" i="9"/>
  <c r="N84" i="9"/>
  <c r="M84" i="9"/>
  <c r="L84" i="9"/>
  <c r="K84" i="9"/>
  <c r="V83" i="9"/>
  <c r="O83" i="9"/>
  <c r="N83" i="9"/>
  <c r="M83" i="9"/>
  <c r="L83" i="9"/>
  <c r="K83" i="9"/>
  <c r="V82" i="9"/>
  <c r="O82" i="9"/>
  <c r="N82" i="9"/>
  <c r="M82" i="9"/>
  <c r="L82" i="9"/>
  <c r="K82" i="9"/>
  <c r="V81" i="9"/>
  <c r="O81" i="9"/>
  <c r="N81" i="9"/>
  <c r="M81" i="9"/>
  <c r="L81" i="9"/>
  <c r="K81" i="9"/>
  <c r="V80" i="9"/>
  <c r="O80" i="9"/>
  <c r="N80" i="9"/>
  <c r="M80" i="9"/>
  <c r="L80" i="9"/>
  <c r="K80" i="9"/>
  <c r="V79" i="9"/>
  <c r="O79" i="9"/>
  <c r="N79" i="9"/>
  <c r="M79" i="9"/>
  <c r="L79" i="9"/>
  <c r="K79" i="9"/>
  <c r="V78" i="9"/>
  <c r="O78" i="9"/>
  <c r="N78" i="9"/>
  <c r="M78" i="9"/>
  <c r="L78" i="9"/>
  <c r="K78" i="9"/>
  <c r="V77" i="9"/>
  <c r="O77" i="9"/>
  <c r="N77" i="9"/>
  <c r="M77" i="9"/>
  <c r="L77" i="9"/>
  <c r="K77" i="9"/>
  <c r="V76" i="9"/>
  <c r="O76" i="9"/>
  <c r="N76" i="9"/>
  <c r="M76" i="9"/>
  <c r="L76" i="9"/>
  <c r="K76" i="9"/>
  <c r="V75" i="9"/>
  <c r="O75" i="9"/>
  <c r="N75" i="9"/>
  <c r="M75" i="9"/>
  <c r="L75" i="9"/>
  <c r="K75" i="9"/>
  <c r="V74" i="9"/>
  <c r="O74" i="9"/>
  <c r="N74" i="9"/>
  <c r="M74" i="9"/>
  <c r="L74" i="9"/>
  <c r="K74" i="9"/>
  <c r="V73" i="9"/>
  <c r="O73" i="9"/>
  <c r="N73" i="9"/>
  <c r="M73" i="9"/>
  <c r="L73" i="9"/>
  <c r="K73" i="9"/>
  <c r="V72" i="9"/>
  <c r="O72" i="9"/>
  <c r="N72" i="9"/>
  <c r="M72" i="9"/>
  <c r="L72" i="9"/>
  <c r="K72" i="9"/>
  <c r="V71" i="9"/>
  <c r="O71" i="9"/>
  <c r="N71" i="9"/>
  <c r="M71" i="9"/>
  <c r="L71" i="9"/>
  <c r="K71" i="9"/>
  <c r="V70" i="9"/>
  <c r="O70" i="9"/>
  <c r="N70" i="9"/>
  <c r="M70" i="9"/>
  <c r="L70" i="9"/>
  <c r="K70" i="9"/>
  <c r="V69" i="9"/>
  <c r="O69" i="9"/>
  <c r="N69" i="9"/>
  <c r="M69" i="9"/>
  <c r="L69" i="9"/>
  <c r="K69" i="9"/>
  <c r="V68" i="9"/>
  <c r="O68" i="9"/>
  <c r="N68" i="9"/>
  <c r="M68" i="9"/>
  <c r="L68" i="9"/>
  <c r="K68" i="9"/>
  <c r="V67" i="9"/>
  <c r="O67" i="9"/>
  <c r="N67" i="9"/>
  <c r="M67" i="9"/>
  <c r="L67" i="9"/>
  <c r="K67" i="9"/>
  <c r="V66" i="9"/>
  <c r="O66" i="9"/>
  <c r="N66" i="9"/>
  <c r="M66" i="9"/>
  <c r="L66" i="9"/>
  <c r="K66" i="9"/>
  <c r="V65" i="9"/>
  <c r="O65" i="9"/>
  <c r="N65" i="9"/>
  <c r="M65" i="9"/>
  <c r="L65" i="9"/>
  <c r="K65" i="9"/>
  <c r="V64" i="9"/>
  <c r="O64" i="9"/>
  <c r="N64" i="9"/>
  <c r="M64" i="9"/>
  <c r="L64" i="9"/>
  <c r="K64" i="9"/>
  <c r="V63" i="9"/>
  <c r="O63" i="9"/>
  <c r="N63" i="9"/>
  <c r="M63" i="9"/>
  <c r="L63" i="9"/>
  <c r="K63" i="9"/>
  <c r="V62" i="9"/>
  <c r="O62" i="9"/>
  <c r="N62" i="9"/>
  <c r="M62" i="9"/>
  <c r="L62" i="9"/>
  <c r="K62" i="9"/>
  <c r="V61" i="9"/>
  <c r="O61" i="9"/>
  <c r="N61" i="9"/>
  <c r="M61" i="9"/>
  <c r="L61" i="9"/>
  <c r="K61" i="9"/>
  <c r="V60" i="9"/>
  <c r="O60" i="9"/>
  <c r="N60" i="9"/>
  <c r="M60" i="9"/>
  <c r="L60" i="9"/>
  <c r="K60" i="9"/>
  <c r="V59" i="9"/>
  <c r="O59" i="9"/>
  <c r="N59" i="9"/>
  <c r="M59" i="9"/>
  <c r="L59" i="9"/>
  <c r="K59" i="9"/>
  <c r="V58" i="9"/>
  <c r="O58" i="9"/>
  <c r="N58" i="9"/>
  <c r="M58" i="9"/>
  <c r="L58" i="9"/>
  <c r="K58" i="9"/>
  <c r="V57" i="9"/>
  <c r="O57" i="9"/>
  <c r="N57" i="9"/>
  <c r="M57" i="9"/>
  <c r="L57" i="9"/>
  <c r="K57" i="9"/>
  <c r="V56" i="9"/>
  <c r="O56" i="9"/>
  <c r="N56" i="9"/>
  <c r="M56" i="9"/>
  <c r="L56" i="9"/>
  <c r="K56" i="9"/>
  <c r="V55" i="9"/>
  <c r="O55" i="9"/>
  <c r="N55" i="9"/>
  <c r="M55" i="9"/>
  <c r="L55" i="9"/>
  <c r="K55" i="9"/>
  <c r="V54" i="9"/>
  <c r="O54" i="9"/>
  <c r="N54" i="9"/>
  <c r="M54" i="9"/>
  <c r="L54" i="9"/>
  <c r="K54" i="9"/>
  <c r="V53" i="9"/>
  <c r="O53" i="9"/>
  <c r="N53" i="9"/>
  <c r="M53" i="9"/>
  <c r="L53" i="9"/>
  <c r="K53" i="9"/>
  <c r="V52" i="9"/>
  <c r="O52" i="9"/>
  <c r="N52" i="9"/>
  <c r="M52" i="9"/>
  <c r="L52" i="9"/>
  <c r="K52" i="9"/>
  <c r="V51" i="9"/>
  <c r="O51" i="9"/>
  <c r="N51" i="9"/>
  <c r="M51" i="9"/>
  <c r="L51" i="9"/>
  <c r="K51" i="9"/>
  <c r="V50" i="9"/>
  <c r="O50" i="9"/>
  <c r="N50" i="9"/>
  <c r="M50" i="9"/>
  <c r="L50" i="9"/>
  <c r="K50" i="9"/>
  <c r="V49" i="9"/>
  <c r="O49" i="9"/>
  <c r="N49" i="9"/>
  <c r="M49" i="9"/>
  <c r="L49" i="9"/>
  <c r="K49" i="9"/>
  <c r="V48" i="9"/>
  <c r="O48" i="9"/>
  <c r="N48" i="9"/>
  <c r="M48" i="9"/>
  <c r="L48" i="9"/>
  <c r="K48" i="9"/>
  <c r="V47" i="9"/>
  <c r="O47" i="9"/>
  <c r="N47" i="9"/>
  <c r="M47" i="9"/>
  <c r="L47" i="9"/>
  <c r="K47" i="9"/>
  <c r="V46" i="9"/>
  <c r="O46" i="9"/>
  <c r="N46" i="9"/>
  <c r="M46" i="9"/>
  <c r="L46" i="9"/>
  <c r="K46" i="9"/>
  <c r="V45" i="9"/>
  <c r="O45" i="9"/>
  <c r="N45" i="9"/>
  <c r="M45" i="9"/>
  <c r="L45" i="9"/>
  <c r="K45" i="9"/>
  <c r="V44" i="9"/>
  <c r="O44" i="9"/>
  <c r="N44" i="9"/>
  <c r="M44" i="9"/>
  <c r="L44" i="9"/>
  <c r="K44" i="9"/>
  <c r="V43" i="9"/>
  <c r="O43" i="9"/>
  <c r="N43" i="9"/>
  <c r="M43" i="9"/>
  <c r="L43" i="9"/>
  <c r="K43" i="9"/>
  <c r="V42" i="9"/>
  <c r="O42" i="9"/>
  <c r="N42" i="9"/>
  <c r="M42" i="9"/>
  <c r="L42" i="9"/>
  <c r="K42" i="9"/>
  <c r="V41" i="9"/>
  <c r="O41" i="9"/>
  <c r="N41" i="9"/>
  <c r="M41" i="9"/>
  <c r="L41" i="9"/>
  <c r="K41" i="9"/>
  <c r="V40" i="9"/>
  <c r="O40" i="9"/>
  <c r="N40" i="9"/>
  <c r="M40" i="9"/>
  <c r="L40" i="9"/>
  <c r="K40" i="9"/>
  <c r="V39" i="9"/>
  <c r="O39" i="9"/>
  <c r="N39" i="9"/>
  <c r="M39" i="9"/>
  <c r="L39" i="9"/>
  <c r="K39" i="9"/>
  <c r="V38" i="9"/>
  <c r="O38" i="9"/>
  <c r="N38" i="9"/>
  <c r="M38" i="9"/>
  <c r="L38" i="9"/>
  <c r="K38" i="9"/>
  <c r="V37" i="9"/>
  <c r="O37" i="9"/>
  <c r="N37" i="9"/>
  <c r="M37" i="9"/>
  <c r="L37" i="9"/>
  <c r="K37" i="9"/>
  <c r="V36" i="9"/>
  <c r="O36" i="9"/>
  <c r="N36" i="9"/>
  <c r="M36" i="9"/>
  <c r="L36" i="9"/>
  <c r="K36" i="9"/>
  <c r="V35" i="9"/>
  <c r="O35" i="9"/>
  <c r="N35" i="9"/>
  <c r="M35" i="9"/>
  <c r="L35" i="9"/>
  <c r="K35" i="9"/>
  <c r="V34" i="9"/>
  <c r="O34" i="9"/>
  <c r="N34" i="9"/>
  <c r="M34" i="9"/>
  <c r="L34" i="9"/>
  <c r="K34" i="9"/>
  <c r="V33" i="9"/>
  <c r="O33" i="9"/>
  <c r="N33" i="9"/>
  <c r="M33" i="9"/>
  <c r="L33" i="9"/>
  <c r="K33" i="9"/>
  <c r="V32" i="9"/>
  <c r="O32" i="9"/>
  <c r="N32" i="9"/>
  <c r="M32" i="9"/>
  <c r="L32" i="9"/>
  <c r="K32" i="9"/>
  <c r="V31" i="9"/>
  <c r="O31" i="9"/>
  <c r="N31" i="9"/>
  <c r="M31" i="9"/>
  <c r="L31" i="9"/>
  <c r="K31" i="9"/>
  <c r="V30" i="9"/>
  <c r="O30" i="9"/>
  <c r="N30" i="9"/>
  <c r="M30" i="9"/>
  <c r="L30" i="9"/>
  <c r="K30" i="9"/>
  <c r="V29" i="9"/>
  <c r="O29" i="9"/>
  <c r="N29" i="9"/>
  <c r="M29" i="9"/>
  <c r="L29" i="9"/>
  <c r="K29" i="9"/>
  <c r="V28" i="9"/>
  <c r="O28" i="9"/>
  <c r="N28" i="9"/>
  <c r="M28" i="9"/>
  <c r="L28" i="9"/>
  <c r="K28" i="9"/>
  <c r="V27" i="9"/>
  <c r="O27" i="9"/>
  <c r="N27" i="9"/>
  <c r="M27" i="9"/>
  <c r="L27" i="9"/>
  <c r="K27" i="9"/>
  <c r="V26" i="9"/>
  <c r="O26" i="9"/>
  <c r="N26" i="9"/>
  <c r="M26" i="9"/>
  <c r="L26" i="9"/>
  <c r="K26" i="9"/>
  <c r="V25" i="9"/>
  <c r="O25" i="9"/>
  <c r="N25" i="9"/>
  <c r="M25" i="9"/>
  <c r="L25" i="9"/>
  <c r="K25" i="9"/>
  <c r="V24" i="9"/>
  <c r="O24" i="9"/>
  <c r="N24" i="9"/>
  <c r="M24" i="9"/>
  <c r="L24" i="9"/>
  <c r="K24" i="9"/>
  <c r="V23" i="9"/>
  <c r="O23" i="9"/>
  <c r="N23" i="9"/>
  <c r="M23" i="9"/>
  <c r="L23" i="9"/>
  <c r="K23" i="9"/>
  <c r="V22" i="9"/>
  <c r="O22" i="9"/>
  <c r="N22" i="9"/>
  <c r="M22" i="9"/>
  <c r="L22" i="9"/>
  <c r="K22" i="9"/>
  <c r="V21" i="9"/>
  <c r="O21" i="9"/>
  <c r="N21" i="9"/>
  <c r="M21" i="9"/>
  <c r="L21" i="9"/>
  <c r="K21" i="9"/>
  <c r="V20" i="9"/>
  <c r="O20" i="9"/>
  <c r="N20" i="9"/>
  <c r="M20" i="9"/>
  <c r="L20" i="9"/>
  <c r="K20" i="9"/>
  <c r="V19" i="9"/>
  <c r="O19" i="9"/>
  <c r="N19" i="9"/>
  <c r="M19" i="9"/>
  <c r="L19" i="9"/>
  <c r="K19" i="9"/>
  <c r="V18" i="9"/>
  <c r="O18" i="9"/>
  <c r="N18" i="9"/>
  <c r="M18" i="9"/>
  <c r="L18" i="9"/>
  <c r="K18" i="9"/>
  <c r="V17" i="9"/>
  <c r="O17" i="9"/>
  <c r="N17" i="9"/>
  <c r="M17" i="9"/>
  <c r="L17" i="9"/>
  <c r="K17" i="9"/>
  <c r="V16" i="9"/>
  <c r="O16" i="9"/>
  <c r="N16" i="9"/>
  <c r="M16" i="9"/>
  <c r="L16" i="9"/>
  <c r="K16" i="9"/>
  <c r="V15" i="9"/>
  <c r="O15" i="9"/>
  <c r="N15" i="9"/>
  <c r="M15" i="9"/>
  <c r="L15" i="9"/>
  <c r="K15" i="9"/>
  <c r="V14" i="9"/>
  <c r="O14" i="9"/>
  <c r="N14" i="9"/>
  <c r="M14" i="9"/>
  <c r="L14" i="9"/>
  <c r="K14" i="9"/>
  <c r="V13" i="9"/>
  <c r="O13" i="9"/>
  <c r="N13" i="9"/>
  <c r="M13" i="9"/>
  <c r="L13" i="9"/>
  <c r="K13" i="9"/>
  <c r="V12" i="9"/>
  <c r="O12" i="9"/>
  <c r="N12" i="9"/>
  <c r="M12" i="9"/>
  <c r="L12" i="9"/>
  <c r="K12" i="9"/>
  <c r="V11" i="9"/>
  <c r="O11" i="9"/>
  <c r="N11" i="9"/>
  <c r="M11" i="9"/>
  <c r="L11" i="9"/>
  <c r="K11" i="9"/>
  <c r="V10" i="9"/>
  <c r="O10" i="9"/>
  <c r="N10" i="9"/>
  <c r="M10" i="9"/>
  <c r="L10" i="9"/>
  <c r="K10" i="9"/>
  <c r="V9" i="9"/>
  <c r="O9" i="9"/>
  <c r="N9" i="9"/>
  <c r="M9" i="9"/>
  <c r="L9" i="9"/>
  <c r="K9" i="9"/>
  <c r="V8" i="9"/>
  <c r="O8" i="9"/>
  <c r="N8" i="9"/>
  <c r="M8" i="9"/>
  <c r="L8" i="9"/>
  <c r="K8" i="9"/>
  <c r="V7" i="9"/>
  <c r="O7" i="9"/>
  <c r="N7" i="9"/>
  <c r="M7" i="9"/>
  <c r="L7" i="9"/>
  <c r="K7" i="9"/>
  <c r="V6" i="9"/>
  <c r="O6" i="9"/>
  <c r="N6" i="9"/>
  <c r="M6" i="9"/>
  <c r="L6" i="9"/>
  <c r="K6" i="9"/>
  <c r="V5" i="9"/>
  <c r="O5" i="9"/>
  <c r="N5" i="9"/>
  <c r="M5" i="9"/>
  <c r="L5" i="9"/>
  <c r="K5" i="9"/>
  <c r="V4" i="9"/>
  <c r="O4" i="9"/>
  <c r="N4" i="9"/>
  <c r="M4" i="9"/>
  <c r="L4" i="9"/>
  <c r="K4" i="9"/>
  <c r="V3" i="9"/>
  <c r="N3" i="9"/>
  <c r="M3" i="9"/>
  <c r="L3" i="9"/>
  <c r="K3" i="9"/>
  <c r="D7" i="4" l="1"/>
  <c r="C26" i="2" l="1"/>
  <c r="C23" i="2"/>
  <c r="F16" i="4" l="1"/>
  <c r="I16" i="4"/>
  <c r="I15" i="4"/>
  <c r="E15" i="4" s="1"/>
  <c r="I14" i="4"/>
  <c r="E14" i="4" s="1"/>
  <c r="I13" i="4"/>
  <c r="I12" i="4"/>
  <c r="I11" i="4"/>
  <c r="I10" i="4"/>
  <c r="E11" i="4" l="1"/>
  <c r="F11" i="4"/>
  <c r="E10" i="4"/>
  <c r="F10" i="4"/>
  <c r="E12" i="4"/>
  <c r="F12" i="4"/>
  <c r="E13" i="4"/>
  <c r="F13" i="4"/>
  <c r="F14" i="4"/>
  <c r="F1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<sst xmlns="http://schemas.openxmlformats.org/spreadsheetml/2006/main" count="1220" uniqueCount="599">
  <si>
    <t>Ventilation</t>
  </si>
  <si>
    <t>Index</t>
  </si>
  <si>
    <t>DSBNo</t>
  </si>
  <si>
    <t>London District Catholic School Board</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</si>
  <si>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</si>
  <si>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</si>
  <si>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</si>
  <si>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</si>
  <si>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</si>
  <si>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</si>
  <si>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</si>
  <si>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</si>
  <si>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</si>
  <si>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</si>
  <si>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</si>
  <si>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</si>
  <si>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</si>
  <si>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</si>
  <si>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</si>
  <si>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</si>
  <si>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</si>
  <si>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</si>
  <si>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</si>
  <si>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</si>
  <si>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</si>
  <si>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</si>
  <si>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</si>
  <si>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</si>
  <si>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Question</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</si>
  <si>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</si>
  <si>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</si>
  <si>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</si>
  <si>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</si>
  <si>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</si>
  <si>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</si>
  <si>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</si>
  <si>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</si>
  <si>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HVAC System Type</t>
  </si>
  <si>
    <t>5002-1</t>
  </si>
  <si>
    <t>12208-1</t>
  </si>
  <si>
    <t>7405-2</t>
  </si>
  <si>
    <t>8023-1</t>
  </si>
  <si>
    <t>12197-1</t>
  </si>
  <si>
    <t>7429-1</t>
  </si>
  <si>
    <t>7094-1</t>
  </si>
  <si>
    <t>ÉÉC Notre-Dame-de-la-Merci</t>
  </si>
  <si>
    <t>7284-1</t>
  </si>
  <si>
    <t>8065-1</t>
  </si>
  <si>
    <t>7434-1</t>
  </si>
  <si>
    <t>ÉÉC Saint-Joseph (Blind River)</t>
  </si>
  <si>
    <t>8529-1</t>
  </si>
  <si>
    <t>ÉÉC Notre-Dame-du-Sault</t>
  </si>
  <si>
    <t>7287-1</t>
  </si>
  <si>
    <t>7505-1</t>
  </si>
  <si>
    <t>6990-1</t>
  </si>
  <si>
    <t>7621-1</t>
  </si>
  <si>
    <t>7769-1</t>
  </si>
  <si>
    <t>8831-2</t>
  </si>
  <si>
    <t>7104-1</t>
  </si>
  <si>
    <t>7972-1</t>
  </si>
  <si>
    <t>ÉSC Champlain</t>
  </si>
  <si>
    <t>6965-1</t>
  </si>
  <si>
    <t>ÉÉC Alliance Saint-Joseph</t>
  </si>
  <si>
    <t>7750-1</t>
  </si>
  <si>
    <t>ÉÉC Félix-Ricard</t>
  </si>
  <si>
    <t>7115-1</t>
  </si>
  <si>
    <t>ÉÉC Georges Vanier</t>
  </si>
  <si>
    <t>7311-2</t>
  </si>
  <si>
    <t>ÉÉC Jean-Paul II</t>
  </si>
  <si>
    <t>7285-1</t>
  </si>
  <si>
    <t>ÉÉC La Renaissance</t>
  </si>
  <si>
    <t>ÉÉC Notre-Dame</t>
  </si>
  <si>
    <t>7273-1</t>
  </si>
  <si>
    <t>7508-1</t>
  </si>
  <si>
    <t>12342-1</t>
  </si>
  <si>
    <t>7602-1</t>
  </si>
  <si>
    <t>6966-1</t>
  </si>
  <si>
    <t>ÉÉC Saint-Nom-de-Jésus</t>
  </si>
  <si>
    <t>ÉSC Carrefour Options+</t>
  </si>
  <si>
    <t xml:space="preserve">ÉSC Collège Notre-Dame </t>
  </si>
  <si>
    <t>7069-1</t>
  </si>
  <si>
    <t>ÉSC du Sacré-Cœur</t>
  </si>
  <si>
    <t>8649-1</t>
  </si>
  <si>
    <t>ÉSC Jeunesse-Nord</t>
  </si>
  <si>
    <t>11283-1</t>
  </si>
  <si>
    <t>ÉSC l'Horizon</t>
  </si>
  <si>
    <t>7478-1</t>
  </si>
  <si>
    <t>ÉSC Trillium</t>
  </si>
  <si>
    <t>12049-1</t>
  </si>
  <si>
    <t>Nombre #</t>
  </si>
  <si>
    <t>Oui/Non/SO</t>
  </si>
  <si>
    <t>Options de la liste déroulante →</t>
  </si>
  <si>
    <t>Ventilation mécanique,
Ventilation partiellement mécanique,
Ventilation non mécanique (ventilation naturelle/extraction seulement)</t>
  </si>
  <si>
    <t>Saisissez les renseignements sur les écoles</t>
  </si>
  <si>
    <t>Indiquez les mesures de ventilation prises</t>
  </si>
  <si>
    <t>Nom de l’établissement scolaire</t>
  </si>
  <si>
    <t>No du bâtiment</t>
  </si>
  <si>
    <t>Type de ventilation de l’établissement scolaire</t>
  </si>
  <si>
    <t>No du conseil</t>
  </si>
  <si>
    <t>Nombre d'unités de filtration d’air HEPA autonomes en place</t>
  </si>
  <si>
    <t>Les titres des colonnes de cette feuille de travail se trouvent aux rangées 1, 3, 13, 15, 16 et 17. Ils couvrent les cellules B1 à C1, B3, B13, E15 à P15, E16 à P16, et E17 à P17. Les données couvrent les cellules A5 à C29 et E18 à P19.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</si>
  <si>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Réponse</t>
  </si>
  <si>
    <t>Feuille 1 : Stratégie de ventilation du conseil scolaire</t>
  </si>
  <si>
    <t>Feuille 2 : Investissements du conseil scolaire</t>
  </si>
  <si>
    <t xml:space="preserve"> Sélectionnez le nom du conseil scolaire</t>
  </si>
  <si>
    <t>Décrivez la stratégie de votre conseil scolaire (en quatre points)</t>
  </si>
  <si>
    <t>Investissements et projets</t>
  </si>
  <si>
    <t>Nombre total d’unités de filtration HEPA autonomes déployés</t>
  </si>
  <si>
    <t>Champs calculés (3.1, 3.2, 3.5 et 3.8)</t>
  </si>
  <si>
    <t>&lt;- Saisir la valeur ici</t>
  </si>
  <si>
    <t>&lt;- Calculé</t>
  </si>
  <si>
    <t>&lt;- Choisir</t>
  </si>
  <si>
    <t>Champ calculé</t>
  </si>
  <si>
    <t>Légende</t>
  </si>
  <si>
    <t>Champ de saisie de donnée</t>
  </si>
  <si>
    <t>2021-2022</t>
  </si>
  <si>
    <t>2020-2021</t>
  </si>
  <si>
    <t>Sources de financement (veuillez fournir les renseignements sur les dépenses)</t>
  </si>
  <si>
    <t>50 M$ – ventilation</t>
  </si>
  <si>
    <t>VIRCV (dépensé)</t>
  </si>
  <si>
    <t>ARE 
(dépensé pour la ventilation)</t>
  </si>
  <si>
    <t>AEE
(dépensé pour la ventilation)</t>
  </si>
  <si>
    <t>Autre financement (dépensé pour la ventilation)</t>
  </si>
  <si>
    <t>Financement des unités de filtration HEPA</t>
  </si>
  <si>
    <t>29,4 M$ pour les filtres et les services publics</t>
  </si>
  <si>
    <t>Financement des unités de filtration HEPA (valeur approx. en $ pour les unités fournies)</t>
  </si>
  <si>
    <t>Les titres des colonnes de cette feuille de travail se trouvent aux rangées 2, 4 et 5. Ils couvrent les cellules A2 à N2, A4 à N4 et A5 à N5. Les données couvrent les cellules A6 à O114. Les cellules A5 à M5 ont des options de tri.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</si>
  <si>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Nom de l’école</t>
  </si>
  <si>
    <t>Système de ventilation</t>
  </si>
  <si>
    <t xml:space="preserve">Mesures de ventilation et de filtration de l’air dans les écoles* </t>
  </si>
  <si>
    <t>** Haute efficacité contre les particules de l’air (HEPA)</t>
  </si>
  <si>
    <t>* Certaines mesures peuvent ne pas être possibles dans le contexte d’un établissement ou d’un milieu scolaire et de systèmes du bâtiment connexes.</t>
  </si>
  <si>
    <t>Ventilation évaluée</t>
  </si>
  <si>
    <t>Les systèmes de ventilation fonctionnent plus longtemps</t>
  </si>
  <si>
    <t>Filtres de qualité supérieure installés</t>
  </si>
  <si>
    <t>Fréquence des changements de filtre augmentée</t>
  </si>
  <si>
    <t>Admission d’air frais augmentée (fenêtres et [ou] systèmes de ventilation mécanique)</t>
  </si>
  <si>
    <t xml:space="preserve">Unités de filtration HEPA déployées dans les classes portatives**, au besoin </t>
  </si>
  <si>
    <t>Les titres des colonnes de cette feuille de travail se trouvent aux rangées 5, 7 et 9. Ils couvrent les cellules A5, A7 et A9. Les données couvrent les cellules B10 à F19. La cellule D5 a des options de tri.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</si>
  <si>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Les titres des colonnes de cette feuille de travail se trouvent aux rangées 5, 6, 7 et 12. Ils couvrent les cellules A5, A6, A7 à B7 et A12. Les données couvrent les cellules A8 à B11 et A12 à B12.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</si>
  <si>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Les titres des colonnes de cette feuille de travail se trouvent aux rangées 3, 7, 8 et 11. Ils couvrent les cellules A3, A7, A8 à B8 et A11. Les données couvrent les cellules A9 à B9 et A12 à A15.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</si>
  <si>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Les conseils scolaires optimisent la qualité de l’air dans les écoles grâce à une meilleure ventilation et à une meilleure filtration de l’air. Les mesures mises en œuvre dépendent du type de ventilation et de faisabilité dans le contexte des installations des écoles et des systèmes du bâtiment connexes. Il s’agit d’un élément clé des multiples stratégies de protection utilisées pour réduire le risque de transmission de la COVID-19 et favoriser des environnements d’apprentissage plus sains et plus sécuritaires pour les élèves et le personnel.</t>
  </si>
  <si>
    <t xml:space="preserve">Unités de filtration HEPA déployées dans les classes portatives, au besoin </t>
  </si>
  <si>
    <t>DSB Name</t>
  </si>
  <si>
    <t>SRTCF Funding</t>
  </si>
  <si>
    <t>ICIP-Ventilation Funding</t>
  </si>
  <si>
    <t>District School Board Ontario North East</t>
  </si>
  <si>
    <t>Algoma District School Board</t>
  </si>
  <si>
    <t>Rainbow District School Board</t>
  </si>
  <si>
    <t>Near North District School Board</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</si>
  <si>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</si>
  <si>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</si>
  <si>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</si>
  <si>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</si>
  <si>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</si>
  <si>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</si>
  <si>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</si>
  <si>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</si>
  <si>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</si>
  <si>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</si>
  <si>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</si>
  <si>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</si>
  <si>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</si>
  <si>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</si>
  <si>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</si>
  <si>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</si>
  <si>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</si>
  <si>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</si>
  <si>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</si>
  <si>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</si>
  <si>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</si>
  <si>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</si>
  <si>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</si>
  <si>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</si>
  <si>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</si>
  <si>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</si>
  <si>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Hastings and Prince Edward District School Board</t>
  </si>
  <si>
    <t>Northeastern Catholic District School Board</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</si>
  <si>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</si>
  <si>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</si>
  <si>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</si>
  <si>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</si>
  <si>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</si>
  <si>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</si>
  <si>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</si>
  <si>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</si>
  <si>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</si>
  <si>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</si>
  <si>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St. Clair Catholic District School Board</t>
  </si>
  <si>
    <t>Toronto Catholic District School Board</t>
  </si>
  <si>
    <t>Peterborough Victoria Northumberland and Clarington Catholic DSB</t>
  </si>
  <si>
    <t>York Catholic District School Board</t>
  </si>
  <si>
    <t>Dufferin Peel Catholic District School Board</t>
  </si>
  <si>
    <t>Simcoe Muskoka Catholic District School Board</t>
  </si>
  <si>
    <t>Durham Catholic District School Board</t>
  </si>
  <si>
    <t>Halton Catholic District School Board</t>
  </si>
  <si>
    <t>Hamilton-Wentworth Catholic District School Board</t>
  </si>
  <si>
    <t>Wellington Catholic District School Board</t>
  </si>
  <si>
    <t>Waterloo Catholic District School Board</t>
  </si>
  <si>
    <t>Niagara Catholic District School Board</t>
  </si>
  <si>
    <t>Brant Haldimand Norfolk Catholic District School Board</t>
  </si>
  <si>
    <t>Eastern Ontario Catholic District School Board</t>
  </si>
  <si>
    <t>Ottawa Catholic District School Board</t>
  </si>
  <si>
    <t>Renfrew County Catholic District School Board</t>
  </si>
  <si>
    <t>Algonquin and Lakeshore Catholic District School Board</t>
  </si>
  <si>
    <t>Conseil scolaire public du Nord-Est de l'Ontario</t>
  </si>
  <si>
    <t>Conseil scolaire public du Grand Nord de l’Ontario</t>
  </si>
  <si>
    <t>Conseil scolaire Viamonde</t>
  </si>
  <si>
    <t>Conseil des écoles publiques de l'Est de l'Ontario</t>
  </si>
  <si>
    <t>Conseil scolaire de district catholique  des Grandes Rivières</t>
  </si>
  <si>
    <t>Conseil scolaire de district catholique Franco-Nord</t>
  </si>
  <si>
    <t>Conseil scolaire de district catholique du Nouvel-Ontario</t>
  </si>
  <si>
    <t>Conseil scolaire de district catholique des Aurores boréales</t>
  </si>
  <si>
    <t>Conseil scolaire catholique Providence</t>
  </si>
  <si>
    <t>Conseil scolaire catholique MonAvenir</t>
  </si>
  <si>
    <t>Conseil scolaire de district catholique de l'Est ontarien</t>
  </si>
  <si>
    <t>Conseil scolaire de district catholique du Centre-Est de l'Ontario</t>
  </si>
  <si>
    <t>James Bay Lowlands Secondary School Board</t>
  </si>
  <si>
    <t>N/A</t>
  </si>
  <si>
    <t>Funding not provided</t>
  </si>
  <si>
    <t>Moose Factory Island District School Area Board</t>
  </si>
  <si>
    <t>Moosonee District School Area Board</t>
  </si>
  <si>
    <t>Penetanguishene Protestant Separate School Board</t>
  </si>
  <si>
    <t>X1</t>
  </si>
  <si>
    <t>Campbell Children's School Authority</t>
  </si>
  <si>
    <t>X2</t>
  </si>
  <si>
    <t>Bloorview School Authority</t>
  </si>
  <si>
    <t>X3</t>
  </si>
  <si>
    <t>John McGivney Children's Centre School Authority</t>
  </si>
  <si>
    <t>X4</t>
  </si>
  <si>
    <t>KidsAbility Education Authority</t>
  </si>
  <si>
    <t>X5</t>
  </si>
  <si>
    <t>Niagara Peninsula Children's Centre School Authority</t>
  </si>
  <si>
    <t>X6</t>
  </si>
  <si>
    <t>Ottawa Children's Treatment Centre School Authority/CHEO School</t>
  </si>
  <si>
    <t>X7</t>
  </si>
  <si>
    <t>Consortium Center Jules-Léger</t>
  </si>
  <si>
    <t>2022-23</t>
  </si>
  <si>
    <t xml:space="preserve">ÉÉC Sacré-Cœur </t>
  </si>
  <si>
    <t>ÉÉC St-Antoine</t>
  </si>
  <si>
    <t>ÉÉC St-Augustin</t>
  </si>
  <si>
    <t>ÉÉC St-Charles Borromée</t>
  </si>
  <si>
    <t>ÉÉC St-Denis</t>
  </si>
  <si>
    <t>ÉÉC St-Dominique</t>
  </si>
  <si>
    <t>ÉÉC Ste-Anne</t>
  </si>
  <si>
    <t>ÉÉC Ste-Marie</t>
  </si>
  <si>
    <t>ÉÉC Ste-Thérèse</t>
  </si>
  <si>
    <t>ÉÉC St-Étienne</t>
  </si>
  <si>
    <t>ÉÉC St-Joseph (Dubreuilville)</t>
  </si>
  <si>
    <t>ÉÉC St-Joseph (Hanmer)</t>
  </si>
  <si>
    <t>ÉÉC St-Joseph (Sudbury)</t>
  </si>
  <si>
    <t>ÉÉC Saint-Joseph (Wawa)</t>
  </si>
  <si>
    <t>ÉÉC St-Paul</t>
  </si>
  <si>
    <t>ÉÉC St-Pierre</t>
  </si>
  <si>
    <t>ÉÉC St-Thomas</t>
  </si>
  <si>
    <t>Oui</t>
  </si>
  <si>
    <t>Non</t>
  </si>
  <si>
    <t>SO</t>
  </si>
  <si>
    <t>Ventilation mécanique</t>
  </si>
  <si>
    <t>Ventilation partiellement mécanique</t>
  </si>
  <si>
    <t>Ventilation non mécanique (ventilation naturelle/extraction seulement)</t>
  </si>
  <si>
    <t>Financement attribué à la ventilation depuis 2020-2021</t>
  </si>
  <si>
    <t>Projets de ventilation prévus pour 2022-2023</t>
  </si>
  <si>
    <t>Nombre d’écoles recevant un investissement depuis 2020-2021 (2020-2021 et 2021-2022)</t>
  </si>
  <si>
    <t>Projets de ventilation achevés depuis 2020-2021 (2020-2021 et 2021-2022)</t>
  </si>
  <si>
    <t>Projets de ventilation a être achevés (2022-2023)</t>
  </si>
  <si>
    <t>Nombre d’écoles qui recevront un investissement (2022-2023)</t>
  </si>
  <si>
    <t>% d’écoles ouvertes et en activité recevant un investissement depuis 2020-2021 (2020-2021 et 2021-2022)</t>
  </si>
  <si>
    <t>% d’écoles ouvertes et en activité qui recevront un investissement (2022-2023)</t>
  </si>
  <si>
    <t>Financement RSSGF
2022 : B08</t>
  </si>
  <si>
    <t>Financement PIIC-Ventilation
2022 : B12</t>
  </si>
  <si>
    <t>Board ID</t>
  </si>
  <si>
    <t>Ventilation Strategy</t>
  </si>
  <si>
    <t>Board Name</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</si>
  <si>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</si>
  <si>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</si>
  <si>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</si>
  <si>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</si>
  <si>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</si>
  <si>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</si>
  <si>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</si>
  <si>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</si>
  <si>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</si>
  <si>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</si>
  <si>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</si>
  <si>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</si>
  <si>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</si>
  <si>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</si>
  <si>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</si>
  <si>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</si>
  <si>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</si>
  <si>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</si>
  <si>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</si>
  <si>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</si>
  <si>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</si>
  <si>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</si>
  <si>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</si>
  <si>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</si>
  <si>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</si>
  <si>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</si>
  <si>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</si>
  <si>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</si>
  <si>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</si>
  <si>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</si>
  <si>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</si>
  <si>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</si>
  <si>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</si>
  <si>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</si>
  <si>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</si>
  <si>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</si>
  <si>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</si>
  <si>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</si>
  <si>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</si>
  <si>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</si>
  <si>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</si>
  <si>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</si>
  <si>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</si>
  <si>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</si>
  <si>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</si>
  <si>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</si>
  <si>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</si>
  <si>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</si>
  <si>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</si>
  <si>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</si>
  <si>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</si>
  <si>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</si>
  <si>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</si>
  <si>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</si>
  <si>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</si>
  <si>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</si>
  <si>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</si>
  <si>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</si>
  <si>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</si>
  <si>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</si>
  <si>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</si>
  <si>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</si>
  <si>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</si>
  <si>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</si>
  <si>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</si>
  <si>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</si>
  <si>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</si>
  <si>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</si>
  <si>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</si>
  <si>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</si>
  <si>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</si>
  <si>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</si>
  <si>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</si>
  <si>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</si>
  <si>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</si>
  <si>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</si>
  <si>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</si>
  <si>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</si>
  <si>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</si>
  <si>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</si>
  <si>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</si>
  <si>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</si>
  <si>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</si>
  <si>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</si>
  <si>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</si>
  <si>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</si>
  <si>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</si>
  <si>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</si>
  <si>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 xml:space="preserve">Maximiser la santé et la sécurité de tous en assurant une qualité de l'air optimale </t>
  </si>
  <si>
    <t>Augmenter la quantité d'air frais</t>
  </si>
  <si>
    <t>Augmenter la filtration de l'air</t>
  </si>
  <si>
    <t>Augmenter la fréquence des inspections</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</si>
  <si>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</si>
  <si>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</si>
  <si>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</si>
  <si>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</si>
  <si>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</si>
  <si>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</si>
  <si>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</si>
  <si>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</si>
  <si>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</si>
  <si>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</si>
  <si>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</si>
  <si>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</si>
  <si>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</si>
  <si>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</si>
  <si>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</si>
  <si>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</si>
  <si>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</si>
  <si>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</si>
  <si>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</si>
  <si>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</si>
  <si>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</si>
  <si>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</si>
  <si>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</si>
  <si>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</si>
  <si>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</si>
  <si>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</si>
  <si>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</si>
  <si>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</si>
  <si>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</si>
  <si>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</si>
  <si>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</si>
  <si>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</si>
  <si>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</si>
  <si>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</si>
  <si>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</si>
  <si>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</si>
  <si>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</si>
  <si>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</si>
  <si>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</si>
  <si>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</si>
  <si>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</si>
  <si>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</si>
  <si>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</si>
  <si>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</si>
  <si>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</si>
  <si>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</si>
  <si>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</si>
  <si>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</si>
  <si>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</si>
  <si>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</si>
  <si>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</si>
  <si>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</si>
  <si>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</si>
  <si>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</si>
  <si>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</si>
  <si>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</si>
  <si>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</si>
  <si>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</si>
  <si>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</si>
  <si>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</si>
  <si>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</si>
  <si>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</si>
  <si>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</si>
  <si>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</si>
  <si>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</si>
  <si>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</si>
  <si>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</si>
  <si>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</si>
  <si>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</si>
  <si>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</si>
  <si>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</si>
  <si>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</si>
  <si>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</si>
  <si>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</si>
  <si>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</si>
  <si>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</si>
  <si>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</si>
  <si>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</si>
  <si>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</si>
  <si>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</si>
  <si>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</si>
  <si>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</si>
  <si>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</si>
  <si>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</si>
  <si>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</si>
  <si>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</si>
  <si>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</si>
  <si>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</si>
  <si>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</si>
  <si>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</si>
  <si>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</si>
  <si>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</si>
  <si>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</si>
  <si>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</si>
  <si>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</si>
  <si>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</si>
  <si>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</si>
  <si>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</si>
  <si>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</si>
  <si>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</si>
  <si>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</si>
  <si>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</si>
  <si>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</si>
  <si>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</si>
  <si>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</si>
  <si>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</si>
  <si>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</si>
  <si>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</si>
  <si>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</si>
  <si>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</si>
  <si>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</si>
  <si>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</si>
  <si>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</si>
  <si>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</si>
  <si>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</si>
  <si>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</si>
  <si>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</si>
  <si>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</si>
  <si>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</si>
  <si>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</si>
  <si>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</si>
  <si>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</si>
  <si>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</si>
  <si>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</si>
  <si>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</si>
  <si>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</si>
  <si>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</si>
  <si>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</si>
  <si>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</si>
  <si>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</si>
  <si>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</si>
  <si>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</si>
  <si>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</si>
  <si>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</si>
  <si>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</si>
  <si>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</si>
  <si>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</si>
  <si>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</si>
  <si>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</si>
  <si>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</si>
  <si>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</si>
  <si>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</si>
  <si>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</si>
  <si>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</si>
  <si>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</si>
  <si>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</si>
  <si>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</si>
  <si>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</si>
  <si>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</si>
  <si>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</si>
  <si>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</si>
  <si>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</si>
  <si>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</si>
  <si>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</si>
  <si>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</si>
  <si>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</si>
  <si>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</si>
  <si>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</si>
  <si>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</si>
  <si>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</si>
  <si>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</si>
  <si>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</si>
  <si>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</si>
  <si>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</si>
  <si>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</si>
  <si>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</si>
  <si>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</si>
  <si>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</si>
  <si>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</si>
  <si>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</si>
  <si>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</si>
  <si>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</si>
  <si>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</si>
  <si>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</si>
  <si>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</si>
  <si>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</si>
  <si>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</si>
  <si>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</si>
  <si>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</si>
  <si>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</si>
  <si>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</si>
  <si>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</si>
  <si>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</si>
  <si>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</si>
  <si>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</si>
  <si>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</si>
  <si>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</si>
  <si>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</si>
  <si>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</si>
  <si>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</si>
  <si>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</si>
  <si>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</si>
  <si>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Prolongement de temps de ventilation avant at après les heures de classes</t>
  </si>
  <si>
    <t>Augmentation d'apport d'air frais</t>
  </si>
  <si>
    <t>Utilisation des filtres MERV13 et remplacement à tous les deux mois</t>
  </si>
  <si>
    <t>Ajout d'unités HEPA dans les écoles sans ventilation mécanique.</t>
  </si>
  <si>
    <t>Colonne1</t>
  </si>
  <si>
    <t>Colonne2</t>
  </si>
  <si>
    <t>voir feuilles données sur les projets</t>
  </si>
  <si>
    <t>VIRCV</t>
  </si>
  <si>
    <t>ARE</t>
  </si>
  <si>
    <t>AEE</t>
  </si>
  <si>
    <t>Description du projet 1</t>
  </si>
  <si>
    <t>année du projet 1 (2020-2021 / 2021-2022)</t>
  </si>
  <si>
    <t xml:space="preserve">source de financement du projet 1 (ARE, AEE, entretien, VIRCV, B MEMO 2020:B12, B MEMO 2021:B01, réserve </t>
  </si>
  <si>
    <t>$ du projet 1</t>
  </si>
  <si>
    <t>Description du projet 2</t>
  </si>
  <si>
    <t>Année du projet 2</t>
  </si>
  <si>
    <t>$ du projet 2</t>
  </si>
  <si>
    <t>filtres MERV 13 (oui indique upgrade)($-bulk)</t>
  </si>
  <si>
    <t>NERVA air duct sealing</t>
  </si>
  <si>
    <t>MEMO 2021:B01</t>
  </si>
  <si>
    <t>Système de ventilation dans les locaux de la garderie</t>
  </si>
  <si>
    <t>Réserve du Conseil</t>
  </si>
  <si>
    <t>Installation de 2 systèmes de ventilation ERV dans deux locaux 110 et 127</t>
  </si>
  <si>
    <t>Réparation des évacuateurs d'air</t>
  </si>
  <si>
    <t>entretien</t>
  </si>
  <si>
    <t>Installation de système de ventilation ERV</t>
  </si>
  <si>
    <t>remplacement de plusieurs évacuateurs d'air automne 2020</t>
  </si>
  <si>
    <t>Convert all controls to Delta BAS (will allow to run on schedule vs motion detector)</t>
  </si>
  <si>
    <t>Installation de gaines de ventilation avec isolant acoustique pour diminuer le bruit de fonctionnement</t>
  </si>
  <si>
    <t>Installation de ERV salon du personnel et administration</t>
  </si>
  <si>
    <t>Rénovations majeures- portion ventilation et fenêtre</t>
  </si>
  <si>
    <t>Installation d'évacuateur d'air dans les toilettes</t>
  </si>
  <si>
    <t>installation de ventilateur ERV dans les 3 classes mobiles</t>
  </si>
  <si>
    <t>réparation d'une section gaine de ventialtion extérieur du gymnase</t>
  </si>
  <si>
    <t>Divers</t>
  </si>
  <si>
    <t>13 complétés par 21-22</t>
  </si>
  <si>
    <t>4 complété par 21-22</t>
  </si>
  <si>
    <t>Installation de ERV dans la section 1972 du MEMO 2022 B12</t>
  </si>
  <si>
    <t>2022-2023</t>
  </si>
  <si>
    <t>MEMO 2022 B12</t>
  </si>
  <si>
    <t>8 à complété par 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</si>
</sst>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164" formatCode="&quot;$&quot;#,##0.00;[Red]\-&quot;$&quot;#,##0.00"/>
    <numFmt numFmtId="165" formatCode="_-* #,##0.00_-;\-* #,##0.00_-;_-* &quot;-&quot;??_-;_-@_-"/>
    <numFmt numFmtId="166" formatCode="&quot;$&quot;#,##0.0&quot;M&quot;"/>
    <numFmt numFmtId="167" formatCode="_-* #,##0_-;\-* #,##0_-;_-* &quot;-&quot;??_-;_-@_-"/>
    <numFmt numFmtId="168" formatCode="#,##0.00_ ;\-#,##0.00\ "/>
  </numFmts>
  <fonts count="33">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1"/>
      <color rgb="FFC00000"/>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1"/>
      <color theme="1"/>
      <name val="Calibri"/>
      <family val="2"/>
    </font>
    <font>
      <sz val="12"/>
      <name val="Calibri"/>
      <family val="2"/>
      <scheme val="minor"/>
    </font>
    <font>
      <sz val="10.5"/>
      <color rgb="FF222A35"/>
      <name val="Calibri"/>
      <family val="2"/>
      <scheme val="minor"/>
    </font>
    <font>
      <i/>
      <sz val="9"/>
      <name val="Calibri"/>
      <family val="2"/>
      <scheme val="minor"/>
    </font>
    <font>
      <i/>
      <sz val="9"/>
      <color theme="1"/>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
      <b/>
      <sz val="11"/>
      <color theme="4"/>
      <name val="Calibri"/>
      <family val="2"/>
      <scheme val="minor"/>
    </font>
  </fonts>
  <fills count="23">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
      <patternFill patternType="solid">
        <fgColor rgb="FF92D050"/>
        <bgColor indexed="64"/>
      </patternFill>
    </fill>
    <fill>
      <patternFill patternType="solid">
        <fgColor rgb="FFFFC000"/>
        <bgColor indexed="64"/>
      </patternFill>
    </fill>
    <fill>
      <patternFill patternType="solid">
        <fgColor theme="7" tint="0.59999389629810485"/>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thin">
        <color theme="4" tint="0.39997558519241921"/>
      </top>
      <bottom style="thin">
        <color theme="4" tint="0.39997558519241921"/>
      </bottom>
      <diagonal/>
    </border>
    <border>
      <left style="thin">
        <color indexed="64"/>
      </left>
      <right/>
      <top/>
      <bottom/>
      <diagonal/>
    </border>
    <border>
      <left style="medium">
        <color indexed="64"/>
      </left>
      <right/>
      <top style="medium">
        <color theme="0" tint="-4.9989318521683403E-2"/>
      </top>
      <bottom/>
      <diagonal/>
    </border>
    <border>
      <left/>
      <right/>
      <top style="medium">
        <color theme="0" tint="-4.9989318521683403E-2"/>
      </top>
      <bottom/>
      <diagonal/>
    </border>
    <border>
      <left style="thin">
        <color indexed="64"/>
      </left>
      <right style="thin">
        <color indexed="64"/>
      </right>
      <top/>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165" fontId="12" fillId="0" borderId="0" applyFont="0" applyFill="0" applyBorder="0" applyAlignment="0" applyProtection="0"/>
    <xf numFmtId="9" fontId="12" fillId="0" borderId="0" applyFont="0" applyFill="0" applyBorder="0" applyAlignment="0" applyProtection="0"/>
  </cellStyleXfs>
  <cellXfs count="165">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Border="1" applyAlignment="1">
      <alignment horizontal="center" vertical="center"/>
    </xf>
    <xf numFmtId="0" fontId="0" fillId="3" borderId="0" xfId="0" applyFill="1" applyBorder="1" applyAlignment="1">
      <alignment horizontal="left" vertical="center"/>
    </xf>
    <xf numFmtId="0" fontId="5" fillId="3" borderId="0" xfId="0" applyFont="1" applyFill="1" applyAlignment="1">
      <alignment vertical="center"/>
    </xf>
    <xf numFmtId="0" fontId="6" fillId="0" borderId="0" xfId="0" applyFont="1"/>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6" fillId="0" borderId="0" xfId="0" applyFont="1" applyAlignment="1">
      <alignment horizontal="left" vertical="center"/>
    </xf>
    <xf numFmtId="0" fontId="0" fillId="0" borderId="0" xfId="0" applyAlignment="1">
      <alignment horizontal="left"/>
    </xf>
    <xf numFmtId="0" fontId="10" fillId="7" borderId="6" xfId="1" applyAlignment="1">
      <alignment horizontal="left" vertical="center"/>
    </xf>
    <xf numFmtId="0" fontId="6" fillId="9" borderId="0" xfId="0" applyFont="1" applyFill="1" applyAlignment="1">
      <alignment horizontal="center" vertical="center"/>
    </xf>
    <xf numFmtId="0" fontId="6" fillId="9" borderId="0" xfId="0" applyFont="1" applyFill="1" applyAlignment="1">
      <alignment horizontal="left" vertical="center"/>
    </xf>
    <xf numFmtId="0" fontId="0" fillId="9" borderId="0" xfId="0" applyFill="1"/>
    <xf numFmtId="1" fontId="10" fillId="7" borderId="6" xfId="1" applyNumberFormat="1"/>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11" fillId="12" borderId="0" xfId="0" applyFont="1" applyFill="1" applyAlignment="1">
      <alignment horizontal="center" vertical="center"/>
    </xf>
    <xf numFmtId="0" fontId="11" fillId="12" borderId="0" xfId="0" applyFont="1" applyFill="1" applyAlignment="1">
      <alignment horizontal="center"/>
    </xf>
    <xf numFmtId="0" fontId="0" fillId="0" borderId="0" xfId="0" applyFont="1" applyAlignment="1">
      <alignment horizontal="center"/>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11" fillId="11" borderId="11" xfId="0" applyFont="1" applyFill="1" applyBorder="1" applyAlignment="1">
      <alignment horizontal="left" vertical="center" wrapText="1"/>
    </xf>
    <xf numFmtId="0" fontId="11" fillId="11" borderId="12" xfId="0" applyFont="1" applyFill="1" applyBorder="1" applyAlignment="1">
      <alignment horizontal="left" vertical="center" wrapText="1"/>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0" fillId="0" borderId="0" xfId="0" applyAlignment="1"/>
    <xf numFmtId="0" fontId="0" fillId="0" borderId="2" xfId="0" applyBorder="1"/>
    <xf numFmtId="0" fontId="6" fillId="0" borderId="2" xfId="0" applyFont="1" applyBorder="1" applyAlignment="1">
      <alignment horizontal="left" vertical="center"/>
    </xf>
    <xf numFmtId="0" fontId="6" fillId="0" borderId="2" xfId="0" applyFont="1" applyBorder="1" applyAlignment="1">
      <alignment horizontal="center" vertical="center"/>
    </xf>
    <xf numFmtId="0" fontId="14" fillId="0" borderId="0" xfId="0" applyFont="1" applyAlignment="1">
      <alignment horizontal="center"/>
    </xf>
    <xf numFmtId="0" fontId="0" fillId="9" borderId="19" xfId="0" applyFill="1" applyBorder="1" applyAlignment="1">
      <alignment horizontal="center" vertical="center" wrapText="1"/>
    </xf>
    <xf numFmtId="0" fontId="0" fillId="0" borderId="0" xfId="0" applyFont="1" applyAlignment="1">
      <alignment horizontal="center" vertical="center"/>
    </xf>
    <xf numFmtId="0" fontId="14" fillId="0" borderId="0" xfId="0" applyFont="1" applyAlignment="1">
      <alignment horizontal="center" vertical="center"/>
    </xf>
    <xf numFmtId="166" fontId="13" fillId="8" borderId="6" xfId="2" applyNumberFormat="1" applyAlignment="1">
      <alignment vertical="center"/>
    </xf>
    <xf numFmtId="0" fontId="15" fillId="0" borderId="0" xfId="0" applyFont="1" applyAlignment="1">
      <alignment horizontal="center" vertical="center"/>
    </xf>
    <xf numFmtId="0" fontId="1" fillId="0" borderId="0" xfId="0" applyFont="1"/>
    <xf numFmtId="0" fontId="16" fillId="0" borderId="0" xfId="0" applyFont="1" applyAlignment="1">
      <alignment horizontal="left" vertical="top"/>
    </xf>
    <xf numFmtId="0" fontId="17" fillId="0" borderId="0" xfId="0" applyFont="1" applyAlignment="1">
      <alignment horizontal="left" vertical="top"/>
    </xf>
    <xf numFmtId="0" fontId="3" fillId="0" borderId="0" xfId="0" applyFont="1" applyAlignment="1">
      <alignment vertical="center"/>
    </xf>
    <xf numFmtId="0" fontId="18" fillId="0" borderId="0" xfId="0" applyFont="1" applyAlignment="1">
      <alignment vertical="center" shrinkToFit="1"/>
    </xf>
    <xf numFmtId="0" fontId="19" fillId="12" borderId="0" xfId="0" applyFont="1" applyFill="1" applyAlignment="1">
      <alignment vertical="center" shrinkToFit="1"/>
    </xf>
    <xf numFmtId="0" fontId="18" fillId="3" borderId="0" xfId="0" applyFont="1" applyFill="1" applyAlignment="1">
      <alignment vertical="center" shrinkToFit="1"/>
    </xf>
    <xf numFmtId="0" fontId="11" fillId="11" borderId="14" xfId="0" applyFont="1" applyFill="1" applyBorder="1" applyAlignment="1">
      <alignment horizontal="center" vertical="center" wrapText="1"/>
    </xf>
    <xf numFmtId="0" fontId="0" fillId="0" borderId="0" xfId="0" applyAlignment="1">
      <alignment vertical="center" wrapText="1"/>
    </xf>
    <xf numFmtId="167" fontId="0" fillId="0" borderId="0" xfId="4" applyNumberFormat="1" applyFont="1" applyAlignment="1">
      <alignment vertical="center" wrapText="1"/>
    </xf>
    <xf numFmtId="164"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4" xfId="0" applyFont="1" applyFill="1" applyBorder="1" applyAlignment="1">
      <alignment horizontal="center" vertical="center"/>
    </xf>
    <xf numFmtId="0" fontId="21" fillId="0" borderId="0" xfId="0" applyFont="1"/>
    <xf numFmtId="0" fontId="10" fillId="7" borderId="6" xfId="1" applyNumberFormat="1" applyAlignment="1">
      <alignment horizontal="left" vertical="top" wrapText="1"/>
    </xf>
    <xf numFmtId="0" fontId="9" fillId="3" borderId="3" xfId="0" applyFont="1" applyFill="1" applyBorder="1" applyAlignment="1">
      <alignment horizontal="left" vertical="center"/>
    </xf>
    <xf numFmtId="0" fontId="10" fillId="7" borderId="25" xfId="1" applyBorder="1"/>
    <xf numFmtId="0" fontId="0" fillId="15" borderId="0" xfId="0" applyFill="1"/>
    <xf numFmtId="0" fontId="0" fillId="16" borderId="0" xfId="0" applyFill="1"/>
    <xf numFmtId="9" fontId="10" fillId="14" borderId="6" xfId="5" applyNumberFormat="1" applyFont="1" applyFill="1" applyBorder="1"/>
    <xf numFmtId="0" fontId="11" fillId="11" borderId="0" xfId="0" applyFont="1" applyFill="1" applyAlignment="1">
      <alignment horizontal="left" vertical="center" wrapText="1"/>
    </xf>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0" fontId="6" fillId="10" borderId="0" xfId="0" applyFont="1" applyFill="1" applyAlignment="1">
      <alignment horizontal="center" vertical="center" wrapText="1"/>
    </xf>
    <xf numFmtId="0" fontId="13" fillId="8" borderId="27" xfId="2" applyBorder="1"/>
    <xf numFmtId="0" fontId="0" fillId="0" borderId="21" xfId="0" applyBorder="1"/>
    <xf numFmtId="0" fontId="10" fillId="7" borderId="26" xfId="1" applyBorder="1"/>
    <xf numFmtId="0" fontId="4" fillId="3" borderId="1" xfId="0" applyFont="1" applyFill="1" applyBorder="1" applyAlignment="1" applyProtection="1">
      <alignment vertical="center"/>
      <protection locked="0"/>
    </xf>
    <xf numFmtId="164" fontId="0" fillId="9" borderId="22" xfId="0" applyNumberFormat="1" applyFill="1" applyBorder="1" applyAlignment="1">
      <alignment horizontal="center" vertical="center" wrapText="1"/>
    </xf>
    <xf numFmtId="0" fontId="0" fillId="0" borderId="23" xfId="0" applyBorder="1" applyAlignment="1"/>
    <xf numFmtId="0" fontId="24" fillId="3" borderId="0" xfId="0" applyFont="1" applyFill="1"/>
    <xf numFmtId="0" fontId="25" fillId="3" borderId="0" xfId="0" applyFont="1" applyFill="1"/>
    <xf numFmtId="0" fontId="11" fillId="11" borderId="13" xfId="0" applyFont="1" applyFill="1" applyBorder="1" applyAlignment="1">
      <alignment horizontal="center" vertical="center" wrapText="1"/>
    </xf>
    <xf numFmtId="0" fontId="0" fillId="0" borderId="0" xfId="0" applyAlignment="1">
      <alignment horizontal="center"/>
    </xf>
    <xf numFmtId="164" fontId="0" fillId="9" borderId="0" xfId="0" applyNumberFormat="1" applyFill="1" applyAlignment="1">
      <alignment horizontal="center" vertical="center" wrapText="1"/>
    </xf>
    <xf numFmtId="0" fontId="0" fillId="18" borderId="0" xfId="0" applyFill="1" applyAlignment="1">
      <alignment horizontal="center"/>
    </xf>
    <xf numFmtId="0" fontId="0" fillId="0" borderId="0" xfId="0" applyFill="1" applyBorder="1"/>
    <xf numFmtId="167" fontId="13" fillId="0" borderId="0" xfId="4" applyNumberFormat="1" applyFont="1" applyFill="1" applyBorder="1" applyAlignment="1">
      <alignment horizontal="center" vertical="center"/>
    </xf>
    <xf numFmtId="3" fontId="10" fillId="0" borderId="0" xfId="1" applyNumberFormat="1" applyFill="1" applyBorder="1" applyAlignment="1">
      <alignment horizontal="center" vertical="center"/>
    </xf>
    <xf numFmtId="168" fontId="13" fillId="8" borderId="30" xfId="4" applyNumberFormat="1"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vertical="top"/>
    </xf>
    <xf numFmtId="0" fontId="8" fillId="0" borderId="0" xfId="0" applyFont="1" applyAlignment="1">
      <alignment vertical="top" wrapText="1"/>
    </xf>
    <xf numFmtId="165" fontId="13" fillId="8" borderId="30" xfId="4" applyFont="1" applyFill="1" applyBorder="1" applyAlignment="1">
      <alignment horizontal="center" vertical="center"/>
    </xf>
    <xf numFmtId="0" fontId="11" fillId="17" borderId="34" xfId="0" applyFont="1" applyFill="1" applyBorder="1" applyAlignment="1">
      <alignment horizontal="left"/>
    </xf>
    <xf numFmtId="0" fontId="11" fillId="17" borderId="35" xfId="0" applyFont="1" applyFill="1" applyBorder="1" applyAlignment="1">
      <alignment wrapText="1"/>
    </xf>
    <xf numFmtId="0" fontId="0" fillId="19" borderId="36" xfId="0" applyFill="1" applyBorder="1" applyAlignment="1">
      <alignment horizontal="center"/>
    </xf>
    <xf numFmtId="0" fontId="9" fillId="9" borderId="36" xfId="1" applyNumberFormat="1" applyFont="1" applyFill="1" applyBorder="1" applyAlignment="1">
      <alignment horizontal="left" vertical="top" wrapText="1"/>
    </xf>
    <xf numFmtId="0" fontId="9" fillId="9" borderId="36" xfId="0" applyFont="1" applyFill="1" applyBorder="1" applyAlignment="1">
      <alignment wrapText="1"/>
    </xf>
    <xf numFmtId="0" fontId="26" fillId="9" borderId="36" xfId="0" applyFont="1" applyFill="1" applyBorder="1" applyAlignment="1">
      <alignment wrapText="1"/>
    </xf>
    <xf numFmtId="0" fontId="8" fillId="9" borderId="36" xfId="1" applyNumberFormat="1" applyFont="1" applyFill="1" applyBorder="1" applyAlignment="1">
      <alignment horizontal="left" vertical="top" wrapText="1"/>
    </xf>
    <xf numFmtId="0" fontId="22" fillId="9" borderId="36" xfId="0" applyFont="1" applyFill="1" applyBorder="1" applyAlignment="1">
      <alignment horizontal="left" vertical="center" wrapText="1"/>
    </xf>
    <xf numFmtId="0" fontId="22" fillId="9" borderId="36" xfId="0" applyFont="1" applyFill="1" applyBorder="1" applyAlignment="1">
      <alignment wrapText="1"/>
    </xf>
    <xf numFmtId="0" fontId="27" fillId="9" borderId="36" xfId="0" applyFont="1" applyFill="1" applyBorder="1" applyAlignment="1">
      <alignment wrapText="1"/>
    </xf>
    <xf numFmtId="0" fontId="30" fillId="9" borderId="36" xfId="0" applyFont="1" applyFill="1" applyBorder="1" applyAlignment="1">
      <alignment wrapText="1"/>
    </xf>
    <xf numFmtId="0" fontId="31" fillId="9" borderId="36" xfId="0" applyFont="1" applyFill="1" applyBorder="1" applyAlignment="1">
      <alignment vertical="center" wrapText="1"/>
    </xf>
    <xf numFmtId="0" fontId="0" fillId="19" borderId="37" xfId="0" applyFill="1" applyBorder="1" applyAlignment="1">
      <alignment horizontal="center"/>
    </xf>
    <xf numFmtId="0" fontId="0" fillId="0" borderId="38" xfId="0" applyBorder="1" applyAlignment="1">
      <alignment wrapText="1"/>
    </xf>
    <xf numFmtId="0" fontId="0" fillId="0" borderId="1" xfId="0" applyBorder="1" applyAlignment="1">
      <alignment horizontal="left" vertical="center"/>
    </xf>
    <xf numFmtId="0" fontId="0" fillId="0" borderId="40" xfId="0" applyBorder="1"/>
    <xf numFmtId="0" fontId="11" fillId="11" borderId="41" xfId="0" applyFont="1" applyFill="1" applyBorder="1" applyAlignment="1">
      <alignment horizontal="left" vertical="center" wrapText="1"/>
    </xf>
    <xf numFmtId="0" fontId="11" fillId="11" borderId="42" xfId="0" applyFont="1" applyFill="1" applyBorder="1" applyAlignment="1">
      <alignment horizontal="left" vertical="center" wrapText="1"/>
    </xf>
    <xf numFmtId="0" fontId="11" fillId="11" borderId="40" xfId="0" applyFont="1" applyFill="1" applyBorder="1" applyAlignment="1">
      <alignment horizontal="left" vertical="center" wrapText="1"/>
    </xf>
    <xf numFmtId="6" fontId="11" fillId="11" borderId="0" xfId="0" quotePrefix="1" applyNumberFormat="1" applyFont="1" applyFill="1" applyAlignment="1">
      <alignment horizontal="left" vertical="center" wrapText="1"/>
    </xf>
    <xf numFmtId="0" fontId="0" fillId="0" borderId="30" xfId="0" applyBorder="1"/>
    <xf numFmtId="0" fontId="0" fillId="20" borderId="30" xfId="0" applyFill="1" applyBorder="1"/>
    <xf numFmtId="0" fontId="0" fillId="0" borderId="30" xfId="0" quotePrefix="1" applyBorder="1"/>
    <xf numFmtId="0" fontId="0" fillId="0" borderId="1" xfId="0" applyBorder="1"/>
    <xf numFmtId="0" fontId="0" fillId="0" borderId="39" xfId="0" applyBorder="1" applyAlignment="1">
      <alignment horizontal="left" vertical="center"/>
    </xf>
    <xf numFmtId="0" fontId="0" fillId="21" borderId="39" xfId="0" applyFill="1" applyBorder="1" applyAlignment="1">
      <alignment horizontal="left" vertical="center"/>
    </xf>
    <xf numFmtId="0" fontId="0" fillId="18" borderId="30" xfId="0" applyFill="1" applyBorder="1"/>
    <xf numFmtId="0" fontId="0" fillId="21" borderId="30" xfId="0" applyFill="1" applyBorder="1"/>
    <xf numFmtId="0" fontId="0" fillId="21" borderId="1" xfId="0" applyFill="1" applyBorder="1" applyAlignment="1">
      <alignment horizontal="left" vertical="center"/>
    </xf>
    <xf numFmtId="0" fontId="0" fillId="20" borderId="43" xfId="0" applyFill="1" applyBorder="1"/>
    <xf numFmtId="0" fontId="0" fillId="0" borderId="43" xfId="0" applyBorder="1"/>
    <xf numFmtId="0" fontId="11" fillId="21" borderId="0" xfId="0" applyFont="1" applyFill="1" applyAlignment="1">
      <alignment horizontal="left" vertical="center" wrapText="1"/>
    </xf>
    <xf numFmtId="0" fontId="0" fillId="21" borderId="0" xfId="0" applyFill="1" applyAlignment="1">
      <alignment horizontal="left" vertical="center"/>
    </xf>
    <xf numFmtId="3" fontId="0" fillId="0" borderId="0" xfId="0" applyNumberFormat="1" applyFill="1" applyBorder="1"/>
    <xf numFmtId="165" fontId="32" fillId="22" borderId="30" xfId="4" applyFont="1" applyFill="1" applyBorder="1" applyAlignment="1">
      <alignment horizontal="center" vertical="center"/>
    </xf>
    <xf numFmtId="0" fontId="0" fillId="4" borderId="0" xfId="0" applyFill="1" applyAlignment="1">
      <alignment horizontal="center"/>
    </xf>
    <xf numFmtId="0" fontId="22" fillId="0" borderId="0" xfId="0" applyFont="1" applyAlignment="1">
      <alignment horizontal="center" vertical="center" wrapText="1"/>
    </xf>
    <xf numFmtId="0" fontId="0" fillId="0" borderId="0" xfId="0" applyAlignment="1">
      <alignment horizontal="center"/>
    </xf>
    <xf numFmtId="0" fontId="23" fillId="0" borderId="0" xfId="0" applyFont="1" applyAlignment="1">
      <alignment horizont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7" borderId="28" xfId="0" applyFont="1" applyFill="1" applyBorder="1" applyAlignment="1">
      <alignment horizontal="center"/>
    </xf>
    <xf numFmtId="0" fontId="7" fillId="17" borderId="29" xfId="0" applyFont="1" applyFill="1" applyBorder="1" applyAlignment="1">
      <alignment horizontal="center"/>
    </xf>
    <xf numFmtId="0" fontId="6" fillId="9" borderId="28" xfId="0" applyFont="1" applyFill="1" applyBorder="1" applyAlignment="1">
      <alignment horizontal="center"/>
    </xf>
    <xf numFmtId="0" fontId="6" fillId="9" borderId="31" xfId="0" applyFont="1" applyFill="1" applyBorder="1" applyAlignment="1">
      <alignment horizontal="center"/>
    </xf>
    <xf numFmtId="0" fontId="6" fillId="9" borderId="29" xfId="0" applyFont="1" applyFill="1" applyBorder="1" applyAlignment="1">
      <alignment horizontal="center"/>
    </xf>
    <xf numFmtId="0" fontId="11" fillId="12" borderId="32" xfId="3" applyFont="1" applyFill="1" applyBorder="1" applyAlignment="1">
      <alignment horizontal="center"/>
    </xf>
    <xf numFmtId="0" fontId="11" fillId="12" borderId="33" xfId="3" applyFont="1" applyFill="1" applyBorder="1" applyAlignment="1">
      <alignment horizontal="center"/>
    </xf>
    <xf numFmtId="0" fontId="0" fillId="0" borderId="33" xfId="0" applyBorder="1" applyAlignment="1"/>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 Accent6" xfId="3" builtinId="50"/>
    <cellStyle name="Calcul" xfId="2" builtinId="22"/>
    <cellStyle name="Entrée" xfId="1" builtinId="20"/>
    <cellStyle name="Milliers" xfId="4" builtinId="3"/>
    <cellStyle name="Normal" xfId="0" builtinId="0"/>
    <cellStyle name="Pourcentage" xfId="5" builtinId="5"/>
  </cellStyles>
  <dxfs count="27">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fill>
        <patternFill patternType="solid">
          <fgColor indexed="64"/>
          <bgColor rgb="FFFFC000"/>
        </patternFill>
      </fill>
      <alignment horizontal="left" vertical="center" textRotation="0" wrapText="0" indent="0" justifyLastLine="0" shrinkToFit="0" readingOrder="0"/>
    </dxf>
    <dxf>
      <numFmt numFmtId="0" formatCode="General"/>
      <fill>
        <patternFill>
          <fgColor indexed="64"/>
          <bgColor rgb="FFFFC000"/>
        </patternFill>
      </fill>
      <alignment horizontal="left" vertical="center" textRotation="0" wrapText="0" indent="0" justifyLastLine="0" shrinkToFit="0" readingOrder="0"/>
    </dxf>
    <dxf>
      <fill>
        <patternFill patternType="solid">
          <fgColor indexed="64"/>
          <bgColor rgb="FFFFC000"/>
        </patternFill>
      </fill>
      <alignment horizontal="left" vertical="center" textRotation="0" wrapText="0" indent="0" justifyLastLine="0" shrinkToFit="0" readingOrder="0"/>
    </dxf>
    <dxf>
      <fill>
        <patternFill>
          <fgColor indexed="64"/>
          <bgColor rgb="FFFFC000"/>
        </patternFill>
      </fill>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123827</xdr:colOff>
      <xdr:row>1</xdr:row>
      <xdr:rowOff>55564</xdr:rowOff>
    </xdr:from>
    <xdr:to>
      <xdr:col>7</xdr:col>
      <xdr:colOff>28573</xdr:colOff>
      <xdr:row>1</xdr:row>
      <xdr:rowOff>726282</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1838327" y="255589"/>
          <a:ext cx="5524496" cy="670718"/>
          <a:chOff x="2336185" y="239714"/>
          <a:chExt cx="4273551"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Profil de ventilation du conseil scolaire</a:t>
            </a:r>
          </a:p>
        </xdr:txBody>
      </xdr:sp>
      <xdr:sp macro="" textlink="'4. Feuille pour le conseil'!$C$5">
        <xdr:nvSpPr>
          <xdr:cNvPr id="19" name="TextBox 18">
            <a:extLst>
              <a:ext uri="{FF2B5EF4-FFF2-40B4-BE49-F238E27FC236}">
                <a16:creationId xmlns:a16="http://schemas.microsoft.com/office/drawing/2014/main" id="{CECA79BC-3E0D-4278-8FF4-9F00FA5EE97F}"/>
              </a:ext>
            </a:extLst>
          </xdr:cNvPr>
          <xdr:cNvSpPr txBox="1"/>
        </xdr:nvSpPr>
        <xdr:spPr>
          <a:xfrm>
            <a:off x="2343551" y="239714"/>
            <a:ext cx="4199871"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400" b="1" i="0" u="none" strike="noStrike" cap="all">
                <a:solidFill>
                  <a:schemeClr val="bg1"/>
                </a:solidFill>
                <a:latin typeface="+mn-lt"/>
                <a:ea typeface="+mn-ea"/>
                <a:cs typeface="Calibri"/>
              </a:rPr>
              <a:pPr marL="0" indent="0" algn="ctr"/>
              <a:t>Conseil scolaire de district catholique du Nouvel-Ontario</a:t>
            </a:fld>
            <a:endParaRPr lang="en-CA" sz="14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36</xdr:row>
      <xdr:rowOff>8030</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381249"/>
          <a:ext cx="7962900" cy="5961156"/>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Mesures visant à réduire le risque de transmission dans les milieux intérieurs</a:t>
            </a: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4150"/>
            <a:ext cx="3416300" cy="721092"/>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 : Augmenter le débit d’air frais/extérieur pour diminuer la concentration de particules infectieuses.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6049"/>
            <a:ext cx="3416300" cy="720686"/>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effectLst/>
                <a:ea typeface="+mn-ea"/>
              </a:rPr>
              <a:t>Filtration : Nécessite l’utilisation de différents types de matériaux fibreux conçus pour éliminer les particules du courant d’air.</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1"/>
            <a:ext cx="7070272" cy="2598734"/>
            <a:chOff x="1055351" y="5395916"/>
            <a:chExt cx="7375072" cy="2509834"/>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20" y="5395916"/>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fr-CA" sz="1400" b="1" cap="all">
                  <a:solidFill>
                    <a:schemeClr val="lt1"/>
                  </a:solidFill>
                  <a:effectLst/>
                  <a:latin typeface="+mn-lt"/>
                  <a:ea typeface="+mn-ea"/>
                  <a:cs typeface="+mn-cs"/>
                </a:rPr>
                <a:t>Stratégie de venTilation du conseil SCOLAIRE</a:t>
              </a:r>
              <a:endParaRPr lang="en-CA" sz="1400">
                <a:effectLst/>
              </a:endParaRPr>
            </a:p>
          </xdr:txBody>
        </xdr:sp>
        <xdr:sp macro="" textlink="'4. Feuille pour le conseil'!$C$8">
          <xdr:nvSpPr>
            <xdr:cNvPr id="23" name="TextBox 22">
              <a:extLst>
                <a:ext uri="{FF2B5EF4-FFF2-40B4-BE49-F238E27FC236}">
                  <a16:creationId xmlns:a16="http://schemas.microsoft.com/office/drawing/2014/main" id="{3A0BDAB4-FD40-4C3B-A8FE-FA6198569BCE}"/>
                </a:ext>
              </a:extLst>
            </xdr:cNvPr>
            <xdr:cNvSpPr txBox="1"/>
          </xdr:nvSpPr>
          <xdr:spPr>
            <a:xfrm>
              <a:off x="1214864" y="5796207"/>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Prolonger l'horaire de fonctionnement des systèmes pour que la ventilation fonctionne 2 heures avant le début et 2 heures après les classes</a:t>
              </a:fld>
              <a:endParaRPr lang="en-US" sz="1200">
                <a:solidFill>
                  <a:sysClr val="windowText" lastClr="000000"/>
                </a:solidFill>
              </a:endParaRPr>
            </a:p>
          </xdr:txBody>
        </xdr:sp>
        <xdr:sp macro="" textlink="'4. Feuille pour le conseil'!$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Remplacer les filtres des systèmes de ventilation par des filtres MERV 13 </a:t>
              </a:fld>
              <a:endParaRPr lang="en-US" sz="1200">
                <a:solidFill>
                  <a:sysClr val="windowText" lastClr="000000"/>
                </a:solidFill>
              </a:endParaRPr>
            </a:p>
          </xdr:txBody>
        </xdr:sp>
        <xdr:sp macro="" textlink="'4. Feuille pour le conseil'!$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Ouvrir les fenêtres autant que possible et tel que toléré selon la température extérieure</a:t>
              </a:fld>
              <a:endParaRPr lang="en-US" sz="1200">
                <a:solidFill>
                  <a:sysClr val="windowText" lastClr="000000"/>
                </a:solidFill>
              </a:endParaRPr>
            </a:p>
          </xdr:txBody>
        </xdr:sp>
        <xdr:sp macro="" textlink="'4. Feuille pour le conseil'!$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Ajustement des points de consignes qui ont pour effet d'augmenter l'apport d'air frais (p.ex. augmenter la position minimale des volets d'air frais, diminuer le point de consigne pour le CO2)</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56091</xdr:colOff>
      <xdr:row>6</xdr:row>
      <xdr:rowOff>109009</xdr:rowOff>
    </xdr:from>
    <xdr:to>
      <xdr:col>13</xdr:col>
      <xdr:colOff>542925</xdr:colOff>
      <xdr:row>31</xdr:row>
      <xdr:rowOff>41275</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13266" y="1337734"/>
          <a:ext cx="9173634" cy="4694766"/>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60348" y="82550"/>
          <a:ext cx="9293227" cy="796504"/>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 de ventilation du conseil scolaire</a:t>
            </a: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171450</xdr:colOff>
      <xdr:row>0</xdr:row>
      <xdr:rowOff>123825</xdr:rowOff>
    </xdr:from>
    <xdr:to>
      <xdr:col>10</xdr:col>
      <xdr:colOff>561975</xdr:colOff>
      <xdr:row>2</xdr:row>
      <xdr:rowOff>161925</xdr:rowOff>
    </xdr:to>
    <xdr:sp macro="" textlink="'4. Feuille pour le conseil'!$C$5">
      <xdr:nvSpPr>
        <xdr:cNvPr id="8" name="TextBox 7">
          <a:extLst>
            <a:ext uri="{FF2B5EF4-FFF2-40B4-BE49-F238E27FC236}">
              <a16:creationId xmlns:a16="http://schemas.microsoft.com/office/drawing/2014/main" id="{1431A383-607D-4D6E-AA1E-AD58B665FD27}"/>
            </a:ext>
          </a:extLst>
        </xdr:cNvPr>
        <xdr:cNvSpPr txBox="1"/>
      </xdr:nvSpPr>
      <xdr:spPr>
        <a:xfrm>
          <a:off x="2600325" y="123825"/>
          <a:ext cx="4733925" cy="43815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400" b="1" i="0" u="none" strike="noStrike" cap="small" baseline="0">
              <a:solidFill>
                <a:schemeClr val="bg1"/>
              </a:solidFill>
              <a:latin typeface="Calibri"/>
              <a:cs typeface="Calibri"/>
            </a:rPr>
            <a:pPr algn="ctr"/>
            <a:t>Conseil scolaire de district catholique du Nouvel-Ontario</a:t>
          </a:fld>
          <a:endParaRPr lang="en-CA" sz="1400" b="1" cap="small" baseline="0">
            <a:solidFill>
              <a:schemeClr val="bg1"/>
            </a:solidFill>
          </a:endParaRPr>
        </a:p>
      </xdr:txBody>
    </xdr:sp>
    <xdr:clientData/>
  </xdr:twoCellAnchor>
  <xdr:twoCellAnchor>
    <xdr:from>
      <xdr:col>1</xdr:col>
      <xdr:colOff>366528</xdr:colOff>
      <xdr:row>9</xdr:row>
      <xdr:rowOff>158750</xdr:rowOff>
    </xdr:from>
    <xdr:to>
      <xdr:col>7</xdr:col>
      <xdr:colOff>163328</xdr:colOff>
      <xdr:row>13</xdr:row>
      <xdr:rowOff>31750</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23703" y="1958975"/>
          <a:ext cx="4140200" cy="635000"/>
          <a:chOff x="907315" y="1949450"/>
          <a:chExt cx="3321050"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907315" y="1949450"/>
            <a:ext cx="3321050"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Financement pour la ventilation*</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Feuille pour le conseil'!$C$18">
        <xdr:nvSpPr>
          <xdr:cNvPr id="12" name="TextBox 11">
            <a:extLst>
              <a:ext uri="{FF2B5EF4-FFF2-40B4-BE49-F238E27FC236}">
                <a16:creationId xmlns:a16="http://schemas.microsoft.com/office/drawing/2014/main" id="{18D17B81-ECA9-4587-89CF-22B12639AF5D}"/>
              </a:ext>
            </a:extLst>
          </xdr:cNvPr>
          <xdr:cNvSpPr txBox="1"/>
        </xdr:nvSpPr>
        <xdr:spPr>
          <a:xfrm>
            <a:off x="3061608" y="2350204"/>
            <a:ext cx="683891" cy="392420"/>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$3.2M</a:t>
            </a:fld>
            <a:endParaRPr lang="en-CA" sz="1400" b="1">
              <a:solidFill>
                <a:schemeClr val="tx2">
                  <a:lumMod val="50000"/>
                </a:schemeClr>
              </a:solidFill>
            </a:endParaRPr>
          </a:p>
        </xdr:txBody>
      </xdr:sp>
    </xdr:grpSp>
    <xdr:clientData/>
  </xdr:twoCellAnchor>
  <xdr:twoCellAnchor>
    <xdr:from>
      <xdr:col>7</xdr:col>
      <xdr:colOff>454026</xdr:colOff>
      <xdr:row>9</xdr:row>
      <xdr:rowOff>171451</xdr:rowOff>
    </xdr:from>
    <xdr:to>
      <xdr:col>13</xdr:col>
      <xdr:colOff>250626</xdr:colOff>
      <xdr:row>13</xdr:row>
      <xdr:rowOff>44450</xdr:rowOff>
    </xdr:to>
    <xdr:grpSp>
      <xdr:nvGrpSpPr>
        <xdr:cNvPr id="17" name="Group 16">
          <a:extLst>
            <a:ext uri="{FF2B5EF4-FFF2-40B4-BE49-F238E27FC236}">
              <a16:creationId xmlns:a16="http://schemas.microsoft.com/office/drawing/2014/main" id="{ABF965C9-C8AF-4BE0-A0FF-D3F8561085AD}"/>
            </a:ext>
            <a:ext uri="{C183D7F6-B498-43B3-948B-1728B52AA6E4}">
              <adec:decorative xmlns:adec="http://schemas.microsoft.com/office/drawing/2017/decorative" val="1"/>
            </a:ext>
          </a:extLst>
        </xdr:cNvPr>
        <xdr:cNvGrpSpPr/>
      </xdr:nvGrpSpPr>
      <xdr:grpSpPr>
        <a:xfrm>
          <a:off x="5054601" y="1971676"/>
          <a:ext cx="4140000" cy="634999"/>
          <a:chOff x="1014455" y="1974850"/>
          <a:chExt cx="3359817" cy="1083945"/>
        </a:xfrm>
      </xdr:grpSpPr>
      <xdr:sp macro="" textlink="">
        <xdr:nvSpPr>
          <xdr:cNvPr id="18" name="Text Box 2">
            <a:extLst>
              <a:ext uri="{FF2B5EF4-FFF2-40B4-BE49-F238E27FC236}">
                <a16:creationId xmlns:a16="http://schemas.microsoft.com/office/drawing/2014/main" id="{FC04BCAB-912C-48C6-87A2-14CDD1558FAB}"/>
              </a:ext>
            </a:extLst>
          </xdr:cNvPr>
          <xdr:cNvSpPr txBox="1">
            <a:spLocks noChangeArrowheads="1"/>
          </xdr:cNvSpPr>
        </xdr:nvSpPr>
        <xdr:spPr bwMode="auto">
          <a:xfrm>
            <a:off x="1014455" y="1974850"/>
            <a:ext cx="3359817" cy="1083945"/>
          </a:xfrm>
          <a:prstGeom prst="rect">
            <a:avLst/>
          </a:prstGeom>
          <a:solidFill>
            <a:schemeClr val="accent6">
              <a:lumMod val="20000"/>
              <a:lumOff val="80000"/>
            </a:schemeClr>
          </a:solidFill>
          <a:ln w="9525">
            <a:solidFill>
              <a:schemeClr val="accent6">
                <a:lumMod val="50000"/>
              </a:schemeClr>
            </a:solidFill>
            <a:miter lim="800000"/>
            <a:headEnd/>
            <a:tailEnd/>
          </a:ln>
        </xdr:spPr>
        <xdr:txBody>
          <a:bodyPr rot="0" vert="horz" wrap="square" lIns="91440" tIns="45720" rIns="91440" bIns="45720" anchor="ctr" anchorCtr="0">
            <a:noAutofit/>
          </a:bodyPr>
          <a:lstStyle/>
          <a:p>
            <a:pPr algn="l">
              <a:lnSpc>
                <a:spcPct val="107000"/>
              </a:lnSpc>
              <a:spcAft>
                <a:spcPts val="0"/>
              </a:spcAft>
            </a:pPr>
            <a:r>
              <a:rPr lang="en-CA" sz="1400" b="1">
                <a:solidFill>
                  <a:srgbClr val="FF0000"/>
                </a:solidFill>
                <a:effectLst/>
                <a:latin typeface="Calibri" panose="020F0502020204030204" pitchFamily="34" charset="0"/>
                <a:ea typeface="Century Gothic" panose="020B0502020202020204" pitchFamily="34" charset="0"/>
                <a:cs typeface="Calibri" panose="020F0502020204030204" pitchFamily="34" charset="0"/>
              </a:rPr>
              <a:t>     </a:t>
            </a:r>
            <a:r>
              <a:rPr lang="en-CA" sz="1400" b="1">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Projets</a:t>
            </a:r>
            <a:r>
              <a:rPr lang="en-CA" sz="1400" b="1" baseline="0">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 de ventilatio prévus</a:t>
            </a:r>
            <a:r>
              <a:rPr lang="en-CA" sz="1400" b="1">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a:t>
            </a:r>
            <a:r>
              <a:rPr lang="en-CA" sz="1400" b="1">
                <a:solidFill>
                  <a:srgbClr val="FF0000"/>
                </a:solidFill>
                <a:effectLst/>
                <a:latin typeface="Calibri" panose="020F0502020204030204" pitchFamily="34" charset="0"/>
                <a:ea typeface="Century Gothic" panose="020B0502020202020204" pitchFamily="34" charset="0"/>
                <a:cs typeface="Calibri" panose="020F0502020204030204" pitchFamily="34" charset="0"/>
              </a:rPr>
              <a:t>            </a:t>
            </a:r>
            <a:r>
              <a:rPr lang="en-CA" sz="1400" b="1">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a:t>
            </a:r>
          </a:p>
        </xdr:txBody>
      </xdr:sp>
      <xdr:sp macro="" textlink="'4. Feuille pour le conseil'!$C$19">
        <xdr:nvSpPr>
          <xdr:cNvPr id="19" name="TextBox 18">
            <a:extLst>
              <a:ext uri="{FF2B5EF4-FFF2-40B4-BE49-F238E27FC236}">
                <a16:creationId xmlns:a16="http://schemas.microsoft.com/office/drawing/2014/main" id="{B3281F93-AC1F-4E38-B11B-C777199D6FA3}"/>
              </a:ext>
            </a:extLst>
          </xdr:cNvPr>
          <xdr:cNvSpPr txBox="1"/>
        </xdr:nvSpPr>
        <xdr:spPr>
          <a:xfrm>
            <a:off x="3330754" y="2318847"/>
            <a:ext cx="615797" cy="452702"/>
          </a:xfrm>
          <a:prstGeom prst="rect">
            <a:avLst/>
          </a:prstGeom>
          <a:solidFill>
            <a:schemeClr val="accent6">
              <a:lumMod val="20000"/>
              <a:lumOff val="80000"/>
            </a:schemeClr>
          </a:solidFill>
          <a:ln w="9525" cmpd="sng">
            <a:solidFill>
              <a:schemeClr val="accent6">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F0CC4E4-51C1-48CB-AE2F-3B4205E0AECC}" type="TxLink">
              <a:rPr lang="en-US" sz="1400" b="1" i="0" u="none" strike="noStrike">
                <a:solidFill>
                  <a:srgbClr val="3F3F3F"/>
                </a:solidFill>
                <a:latin typeface="Calibri"/>
                <a:cs typeface="Calibri"/>
              </a:rPr>
              <a:pPr algn="ctr"/>
              <a:t>$4.2M</a:t>
            </a:fld>
            <a:endParaRPr lang="en-CA" sz="1400" b="1">
              <a:solidFill>
                <a:schemeClr val="accent6">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447675</xdr:colOff>
      <xdr:row>14</xdr:row>
      <xdr:rowOff>171450</xdr:rowOff>
    </xdr:from>
    <xdr:to>
      <xdr:col>6</xdr:col>
      <xdr:colOff>733057</xdr:colOff>
      <xdr:row>17</xdr:row>
      <xdr:rowOff>73027</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704850" y="2924175"/>
          <a:ext cx="3895357" cy="473077"/>
          <a:chOff x="-129072" y="-203481"/>
          <a:chExt cx="5065473" cy="386609"/>
        </a:xfrm>
      </xdr:grpSpPr>
      <xdr:sp macro="" textlink="'4. Feuille pour le conseil'!$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17</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47828" y="-156597"/>
            <a:ext cx="3888573"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Projets de ventilation achevés</a:t>
            </a: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Investissements à l’échelle du CONSEIL SCOLAIRE</a:t>
          </a:r>
        </a:p>
      </xdr:txBody>
    </xdr:sp>
    <xdr:clientData/>
  </xdr:twoCellAnchor>
  <xdr:twoCellAnchor>
    <xdr:from>
      <xdr:col>7</xdr:col>
      <xdr:colOff>565702</xdr:colOff>
      <xdr:row>14</xdr:row>
      <xdr:rowOff>169862</xdr:rowOff>
    </xdr:from>
    <xdr:to>
      <xdr:col>13</xdr:col>
      <xdr:colOff>555293</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166277" y="2922587"/>
          <a:ext cx="4332991" cy="450000"/>
          <a:chOff x="5652364" y="4097454"/>
          <a:chExt cx="4141011"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97102"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Projets de ventilation en cours/prévus</a:t>
            </a:r>
          </a:p>
        </xdr:txBody>
      </xdr:sp>
      <xdr:sp macro="" textlink="'4. Feuille pour le conseil'!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8</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406400</xdr:colOff>
      <xdr:row>9</xdr:row>
      <xdr:rowOff>44450</xdr:rowOff>
    </xdr:from>
    <xdr:to>
      <xdr:col>3</xdr:col>
      <xdr:colOff>639800</xdr:colOff>
      <xdr:row>10</xdr:row>
      <xdr:rowOff>51950</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663575" y="1844675"/>
          <a:ext cx="1681200" cy="198000"/>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a:solidFill>
                <a:schemeClr val="bg1"/>
              </a:solidFill>
            </a:rPr>
            <a:t>2020-2021 et 2021-2022</a:t>
          </a:r>
        </a:p>
      </xdr:txBody>
    </xdr:sp>
    <xdr:clientData/>
  </xdr:twoCellAnchor>
  <xdr:twoCellAnchor>
    <xdr:from>
      <xdr:col>7</xdr:col>
      <xdr:colOff>488948</xdr:colOff>
      <xdr:row>9</xdr:row>
      <xdr:rowOff>53974</xdr:rowOff>
    </xdr:from>
    <xdr:to>
      <xdr:col>9</xdr:col>
      <xdr:colOff>723899</xdr:colOff>
      <xdr:row>10</xdr:row>
      <xdr:rowOff>61474</xdr:rowOff>
    </xdr:to>
    <xdr:sp macro="" textlink="">
      <xdr:nvSpPr>
        <xdr:cNvPr id="44" name="TextBox 43">
          <a:extLst>
            <a:ext uri="{FF2B5EF4-FFF2-40B4-BE49-F238E27FC236}">
              <a16:creationId xmlns:a16="http://schemas.microsoft.com/office/drawing/2014/main" id="{436A1530-45ED-4A63-B777-F0A23FFCC0E0}"/>
            </a:ext>
          </a:extLst>
        </xdr:cNvPr>
        <xdr:cNvSpPr txBox="1"/>
      </xdr:nvSpPr>
      <xdr:spPr>
        <a:xfrm>
          <a:off x="5089523" y="1854199"/>
          <a:ext cx="1682751" cy="198000"/>
        </a:xfrm>
        <a:prstGeom prst="rect">
          <a:avLst/>
        </a:prstGeom>
        <a:solidFill>
          <a:srgbClr val="00B050"/>
        </a:solidFill>
        <a:ln w="9525"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a:solidFill>
                <a:schemeClr val="bg1"/>
              </a:solidFill>
            </a:rPr>
            <a:t>2022-2023</a:t>
          </a: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Remarque : * Cela comprend les dépenses au titre des programmes de ventilation dédiés, le financement fédéral-provincial, le financement provincial pour la réfection et le financement supplémentaire provenant d’autres sources du conseil scolaire.</a:t>
          </a: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Feuille pour le conseil'!$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34</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Écoles recevant un investissement, ce qui représente             des écoles du conseil</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564066</xdr:colOff>
      <xdr:row>17</xdr:row>
      <xdr:rowOff>162450</xdr:rowOff>
    </xdr:from>
    <xdr:to>
      <xdr:col>13</xdr:col>
      <xdr:colOff>409575</xdr:colOff>
      <xdr:row>20</xdr:row>
      <xdr:rowOff>63906</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164641" y="3486675"/>
          <a:ext cx="4188909" cy="472956"/>
          <a:chOff x="5672081" y="3782523"/>
          <a:chExt cx="402176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81471" cy="333639"/>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Écoles devant recevoir un investissement, ce qui représente            des écoles du conseil</a:t>
            </a:r>
          </a:p>
        </xdr:txBody>
      </xdr:sp>
      <xdr:sp macro="" textlink="'4. Feuille pour le conseil'!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8</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594439" y="5019848"/>
          <a:ext cx="6625640" cy="613660"/>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UNITÉS DE FILTRATION HEPA DÉPLOYÉES    |  </a:t>
            </a:r>
            <a:endParaRPr lang="en-CA" sz="1100">
              <a:effectLst/>
              <a:ea typeface="Calibri" panose="020F0502020204030204" pitchFamily="34" charset="0"/>
              <a:cs typeface="Times New Roman" panose="02020603050405020304" pitchFamily="18" charset="0"/>
            </a:endParaRPr>
          </a:p>
        </xdr:txBody>
      </xdr:sp>
      <xdr:sp macro="" textlink="'4. Feuille pour le conseil'!$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483</a:t>
            </a:fld>
            <a:endParaRPr lang="en-CA" sz="1400" b="1">
              <a:solidFill>
                <a:schemeClr val="bg1"/>
              </a:solidFill>
            </a:endParaRPr>
          </a:p>
        </xdr:txBody>
      </xdr:sp>
    </xdr:grpSp>
    <xdr:clientData/>
  </xdr:twoCellAnchor>
  <xdr:twoCellAnchor>
    <xdr:from>
      <xdr:col>3</xdr:col>
      <xdr:colOff>577409</xdr:colOff>
      <xdr:row>18</xdr:row>
      <xdr:rowOff>179663</xdr:rowOff>
    </xdr:from>
    <xdr:to>
      <xdr:col>4</xdr:col>
      <xdr:colOff>423333</xdr:colOff>
      <xdr:row>20</xdr:row>
      <xdr:rowOff>58391</xdr:rowOff>
    </xdr:to>
    <xdr:sp macro="" textlink="'4. Feuille pour le conseil'!C23">
      <xdr:nvSpPr>
        <xdr:cNvPr id="16" name="TextBox 15">
          <a:extLst>
            <a:ext uri="{FF2B5EF4-FFF2-40B4-BE49-F238E27FC236}">
              <a16:creationId xmlns:a16="http://schemas.microsoft.com/office/drawing/2014/main" id="{E19BD255-E77F-4690-8F15-6DAFB13775CD}"/>
            </a:ext>
          </a:extLst>
        </xdr:cNvPr>
        <xdr:cNvSpPr txBox="1"/>
      </xdr:nvSpPr>
      <xdr:spPr>
        <a:xfrm>
          <a:off x="2365627" y="3566330"/>
          <a:ext cx="605005" cy="243670"/>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92%</a:t>
          </a:fld>
          <a:endParaRPr lang="en-CA" sz="1200" b="1">
            <a:solidFill>
              <a:schemeClr val="tx1"/>
            </a:solidFill>
          </a:endParaRPr>
        </a:p>
      </xdr:txBody>
    </xdr:sp>
    <xdr:clientData/>
  </xdr:twoCellAnchor>
  <xdr:twoCellAnchor>
    <xdr:from>
      <xdr:col>9</xdr:col>
      <xdr:colOff>742246</xdr:colOff>
      <xdr:row>18</xdr:row>
      <xdr:rowOff>153314</xdr:rowOff>
    </xdr:from>
    <xdr:to>
      <xdr:col>10</xdr:col>
      <xdr:colOff>589846</xdr:colOff>
      <xdr:row>20</xdr:row>
      <xdr:rowOff>69268</xdr:rowOff>
    </xdr:to>
    <xdr:sp macro="" textlink="'4. Feuille pour le conseil'!C26">
      <xdr:nvSpPr>
        <xdr:cNvPr id="20" name="TextBox 19">
          <a:extLst>
            <a:ext uri="{FF2B5EF4-FFF2-40B4-BE49-F238E27FC236}">
              <a16:creationId xmlns:a16="http://schemas.microsoft.com/office/drawing/2014/main" id="{496EC206-8844-46C9-B9AC-B1A87FCBBC74}"/>
            </a:ext>
          </a:extLst>
        </xdr:cNvPr>
        <xdr:cNvSpPr txBox="1"/>
      </xdr:nvSpPr>
      <xdr:spPr>
        <a:xfrm>
          <a:off x="7054146" y="3563264"/>
          <a:ext cx="603250" cy="284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22%</a:t>
          </a:fld>
          <a:endParaRPr lang="en-CA" sz="12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6</xdr:col>
      <xdr:colOff>152400</xdr:colOff>
      <xdr:row>16</xdr:row>
      <xdr:rowOff>104774</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104775" y="95250"/>
          <a:ext cx="7219950" cy="4686299"/>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673100</xdr:colOff>
      <xdr:row>1</xdr:row>
      <xdr:rowOff>635000</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600" b="1" cap="small" baseline="0">
              <a:solidFill>
                <a:schemeClr val="bg1"/>
              </a:solidFill>
            </a:rPr>
            <a:t>Profil de ventilation du conseil scolaire</a:t>
          </a:r>
        </a:p>
      </xdr:txBody>
    </xdr:sp>
    <xdr:clientData/>
  </xdr:twoCellAnchor>
  <xdr:twoCellAnchor>
    <xdr:from>
      <xdr:col>2</xdr:col>
      <xdr:colOff>514350</xdr:colOff>
      <xdr:row>1</xdr:row>
      <xdr:rowOff>28575</xdr:rowOff>
    </xdr:from>
    <xdr:to>
      <xdr:col>4</xdr:col>
      <xdr:colOff>1060450</xdr:colOff>
      <xdr:row>1</xdr:row>
      <xdr:rowOff>396875</xdr:rowOff>
    </xdr:to>
    <xdr:sp macro="" textlink="'4. Feuille pour le conseil'!$C$5">
      <xdr:nvSpPr>
        <xdr:cNvPr id="5" name="TextBox 4">
          <a:extLst>
            <a:ext uri="{FF2B5EF4-FFF2-40B4-BE49-F238E27FC236}">
              <a16:creationId xmlns:a16="http://schemas.microsoft.com/office/drawing/2014/main" id="{01FCED3A-EF20-470A-96E3-7260A16DB071}"/>
            </a:ext>
          </a:extLst>
        </xdr:cNvPr>
        <xdr:cNvSpPr txBox="1"/>
      </xdr:nvSpPr>
      <xdr:spPr>
        <a:xfrm>
          <a:off x="1860550" y="212725"/>
          <a:ext cx="419735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200" b="1" i="0" u="none" strike="noStrike" cap="small" baseline="0">
              <a:solidFill>
                <a:schemeClr val="bg1"/>
              </a:solidFill>
              <a:latin typeface="Calibri"/>
              <a:cs typeface="Calibri"/>
            </a:rPr>
            <a:pPr algn="ctr"/>
            <a:t>Conseil scolaire de district catholique du Nouvel-Ontario</a:t>
          </a:fld>
          <a:endParaRPr lang="en-CA" sz="1200" b="1" cap="small" baseline="0">
            <a:solidFill>
              <a:schemeClr val="bg1"/>
            </a:solidFill>
          </a:endParaRPr>
        </a:p>
      </xdr:txBody>
    </xdr:sp>
    <xdr:clientData/>
  </xdr:twoCellAnchor>
  <xdr:twoCellAnchor>
    <xdr:from>
      <xdr:col>2</xdr:col>
      <xdr:colOff>952499</xdr:colOff>
      <xdr:row>2</xdr:row>
      <xdr:rowOff>133350</xdr:rowOff>
    </xdr:from>
    <xdr:to>
      <xdr:col>3</xdr:col>
      <xdr:colOff>1581149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305049" y="1009650"/>
          <a:ext cx="1714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Sélectionnez votre école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CAPITAL\STRATEGY\Pol%20Dev\ISSUES%20&amp;%20POLICIES\Renewal\Dashboard%202022-23\Dashboard\100%20-%20Ventilation%20Report%20Sept%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CAPITAL\STRATEGY\Pol%20Dev\ISSUES%20&amp;%20POLICIES\Renewal\Dashboard%202022-23\Dashboard%20Excel%20MockUp%20-%20July%2027%202022%20Prepopulated%20Data%20Opt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Board Ventilation Strategy"/>
      <sheetName val="2. Board Level Investments"/>
      <sheetName val="3. School Dashboard"/>
      <sheetName val="4. Board Level Worksheet"/>
      <sheetName val="5. School Level Worksheet"/>
      <sheetName val="Board Ventilation Strate-PY"/>
      <sheetName val="Funding Tables"/>
      <sheetName val="100 - Ventilation Report Sept 2"/>
    </sheetNames>
    <sheetDataSet>
      <sheetData sheetId="0"/>
      <sheetData sheetId="1"/>
      <sheetData sheetId="2"/>
      <sheetData sheetId="3"/>
      <sheetData sheetId="4"/>
      <sheetData sheetId="5"/>
      <sheetData sheetId="6">
        <row r="1">
          <cell r="P1" t="str">
            <v>Board DropDownList</v>
          </cell>
        </row>
        <row r="2">
          <cell r="B2" t="str">
            <v>DSBNo</v>
          </cell>
          <cell r="P2" t="str">
            <v>DSB Name</v>
          </cell>
        </row>
        <row r="3">
          <cell r="B3">
            <v>1</v>
          </cell>
          <cell r="P3" t="str">
            <v>District School Board Ontario North East</v>
          </cell>
        </row>
        <row r="4">
          <cell r="B4">
            <v>2</v>
          </cell>
          <cell r="P4" t="str">
            <v>Algoma District School Board</v>
          </cell>
        </row>
        <row r="5">
          <cell r="B5">
            <v>3</v>
          </cell>
          <cell r="P5" t="str">
            <v>Rainbow District School Board</v>
          </cell>
        </row>
        <row r="6">
          <cell r="B6">
            <v>4</v>
          </cell>
          <cell r="P6" t="str">
            <v>Near North District School Board</v>
          </cell>
        </row>
        <row r="7">
          <cell r="B7" t="str">
            <v>5A</v>
          </cell>
          <cell r="P7" t="str">
            <v>Keewatin-Patricia District School Board</v>
          </cell>
        </row>
        <row r="8">
          <cell r="B8" t="str">
            <v>5B</v>
          </cell>
          <cell r="P8" t="str">
            <v>Rainy River District School Board</v>
          </cell>
        </row>
        <row r="9">
          <cell r="B9" t="str">
            <v>6A</v>
          </cell>
          <cell r="P9" t="str">
            <v>Lakehead District School Board</v>
          </cell>
        </row>
        <row r="10">
          <cell r="B10" t="str">
            <v>6B</v>
          </cell>
          <cell r="P10" t="str">
            <v>Superior-Greenstone District School Board</v>
          </cell>
        </row>
        <row r="11">
          <cell r="B11">
            <v>7</v>
          </cell>
          <cell r="P11" t="str">
            <v>Bluewater District School Board</v>
          </cell>
        </row>
        <row r="12">
          <cell r="B12">
            <v>8</v>
          </cell>
          <cell r="P12" t="str">
            <v>Avon Maitland District School Board</v>
          </cell>
        </row>
        <row r="13">
          <cell r="B13">
            <v>9</v>
          </cell>
          <cell r="P13" t="str">
            <v>Greater Essex County District School Board</v>
          </cell>
        </row>
        <row r="14">
          <cell r="B14">
            <v>10</v>
          </cell>
          <cell r="P14" t="str">
            <v>Lambton Kent District School Board</v>
          </cell>
        </row>
        <row r="15">
          <cell r="B15">
            <v>11</v>
          </cell>
          <cell r="P15" t="str">
            <v>Thames Valley District School Board</v>
          </cell>
        </row>
        <row r="16">
          <cell r="B16">
            <v>12</v>
          </cell>
          <cell r="P16" t="str">
            <v>Toronto District School Board</v>
          </cell>
        </row>
        <row r="17">
          <cell r="B17">
            <v>13</v>
          </cell>
          <cell r="P17" t="str">
            <v>Durham District School Board</v>
          </cell>
        </row>
        <row r="18">
          <cell r="B18">
            <v>14</v>
          </cell>
          <cell r="P18" t="str">
            <v>Kawartha Pine Ridge District School Board</v>
          </cell>
        </row>
        <row r="19">
          <cell r="B19">
            <v>15</v>
          </cell>
          <cell r="P19" t="str">
            <v>Trillium Lakelands District School Board</v>
          </cell>
        </row>
        <row r="20">
          <cell r="B20">
            <v>16</v>
          </cell>
          <cell r="P20" t="str">
            <v>York Region District School Board</v>
          </cell>
        </row>
        <row r="21">
          <cell r="B21">
            <v>17</v>
          </cell>
          <cell r="P21" t="str">
            <v>Simcoe County District School Board</v>
          </cell>
        </row>
        <row r="22">
          <cell r="B22">
            <v>18</v>
          </cell>
          <cell r="P22" t="str">
            <v>Upper Grand District School Board</v>
          </cell>
        </row>
        <row r="23">
          <cell r="B23">
            <v>19</v>
          </cell>
          <cell r="P23" t="str">
            <v>Peel District School Board</v>
          </cell>
        </row>
        <row r="24">
          <cell r="B24">
            <v>20</v>
          </cell>
          <cell r="P24" t="str">
            <v>Halton District School Board</v>
          </cell>
        </row>
        <row r="25">
          <cell r="B25">
            <v>21</v>
          </cell>
          <cell r="P25" t="str">
            <v>Hamilton-Wentworth District School Board</v>
          </cell>
        </row>
        <row r="26">
          <cell r="B26">
            <v>22</v>
          </cell>
          <cell r="P26" t="str">
            <v>District School Board of Niagara</v>
          </cell>
        </row>
        <row r="27">
          <cell r="B27">
            <v>23</v>
          </cell>
          <cell r="P27" t="str">
            <v>Grand Erie District School Board</v>
          </cell>
        </row>
        <row r="28">
          <cell r="B28">
            <v>24</v>
          </cell>
          <cell r="P28" t="str">
            <v>Waterloo Region District School Board</v>
          </cell>
        </row>
        <row r="29">
          <cell r="B29">
            <v>25</v>
          </cell>
          <cell r="P29" t="str">
            <v>Ottawa-Carleton District School Board</v>
          </cell>
        </row>
        <row r="30">
          <cell r="B30">
            <v>26</v>
          </cell>
          <cell r="P30" t="str">
            <v>Upper Canada District School Board</v>
          </cell>
        </row>
        <row r="31">
          <cell r="B31">
            <v>27</v>
          </cell>
          <cell r="P31" t="str">
            <v>Limestone District School Board</v>
          </cell>
        </row>
        <row r="32">
          <cell r="B32">
            <v>28</v>
          </cell>
          <cell r="P32" t="str">
            <v>Renfrew County District School Board</v>
          </cell>
        </row>
        <row r="33">
          <cell r="B33">
            <v>29</v>
          </cell>
          <cell r="P33" t="str">
            <v>Hastings and Prince Edward District School Board</v>
          </cell>
        </row>
        <row r="34">
          <cell r="B34" t="str">
            <v>30A</v>
          </cell>
          <cell r="P34" t="str">
            <v>Northeastern Catholic District School Board</v>
          </cell>
        </row>
        <row r="35">
          <cell r="B35" t="str">
            <v>30B</v>
          </cell>
          <cell r="P35" t="str">
            <v>Nipissing-Parry Sound Catholic District School Board</v>
          </cell>
        </row>
        <row r="36">
          <cell r="B36">
            <v>31</v>
          </cell>
          <cell r="P36" t="str">
            <v>Huron-Superior Catholic District School Board</v>
          </cell>
        </row>
        <row r="37">
          <cell r="B37">
            <v>32</v>
          </cell>
          <cell r="P37" t="str">
            <v>Sudbury Catholic District School Board</v>
          </cell>
        </row>
        <row r="38">
          <cell r="B38" t="str">
            <v>33A</v>
          </cell>
          <cell r="P38" t="str">
            <v>Northwest Catholic District School Board</v>
          </cell>
        </row>
        <row r="39">
          <cell r="B39" t="str">
            <v>33B</v>
          </cell>
          <cell r="P39" t="str">
            <v>Kenora Catholic District School Board</v>
          </cell>
        </row>
        <row r="40">
          <cell r="B40" t="str">
            <v>34A</v>
          </cell>
          <cell r="P40" t="str">
            <v>Thunder Bay Catholic District School Board</v>
          </cell>
        </row>
        <row r="41">
          <cell r="B41" t="str">
            <v>34B</v>
          </cell>
          <cell r="P41" t="str">
            <v>Superior North Catholic District School Board</v>
          </cell>
        </row>
        <row r="42">
          <cell r="B42">
            <v>35</v>
          </cell>
          <cell r="P42" t="str">
            <v>Bruce-Grey Catholic District School Board</v>
          </cell>
        </row>
        <row r="43">
          <cell r="B43">
            <v>36</v>
          </cell>
          <cell r="P43" t="str">
            <v>Huron-Perth Catholic District School Board</v>
          </cell>
        </row>
        <row r="44">
          <cell r="B44">
            <v>37</v>
          </cell>
          <cell r="P44" t="str">
            <v>Windsor-Essex Catholic District School Board</v>
          </cell>
        </row>
        <row r="45">
          <cell r="B45">
            <v>38</v>
          </cell>
          <cell r="P45" t="str">
            <v>London District Catholic School Board</v>
          </cell>
        </row>
        <row r="46">
          <cell r="B46">
            <v>39</v>
          </cell>
          <cell r="P46" t="str">
            <v>St. Clair Catholic District School Board</v>
          </cell>
        </row>
        <row r="47">
          <cell r="B47">
            <v>40</v>
          </cell>
          <cell r="P47" t="str">
            <v>Toronto Catholic District School Board</v>
          </cell>
        </row>
        <row r="48">
          <cell r="B48">
            <v>41</v>
          </cell>
          <cell r="P48" t="str">
            <v>Peterborough Victoria Northumberland and Clarington Catholic DSB</v>
          </cell>
        </row>
        <row r="49">
          <cell r="B49">
            <v>42</v>
          </cell>
          <cell r="P49" t="str">
            <v>York Catholic District School Board</v>
          </cell>
        </row>
        <row r="50">
          <cell r="B50">
            <v>43</v>
          </cell>
          <cell r="P50" t="str">
            <v>Dufferin Peel Catholic District School Board</v>
          </cell>
        </row>
        <row r="51">
          <cell r="B51">
            <v>44</v>
          </cell>
          <cell r="P51" t="str">
            <v>Simcoe Muskoka Catholic District School Board</v>
          </cell>
        </row>
        <row r="52">
          <cell r="B52">
            <v>45</v>
          </cell>
          <cell r="P52" t="str">
            <v>Durham Catholic District School Board</v>
          </cell>
        </row>
        <row r="53">
          <cell r="B53">
            <v>46</v>
          </cell>
          <cell r="P53" t="str">
            <v>Halton Catholic District School Board</v>
          </cell>
        </row>
        <row r="54">
          <cell r="B54">
            <v>47</v>
          </cell>
          <cell r="P54" t="str">
            <v>Hamilton-Wentworth Catholic District School Board</v>
          </cell>
        </row>
        <row r="55">
          <cell r="B55">
            <v>48</v>
          </cell>
          <cell r="P55" t="str">
            <v>Wellington Catholic District School Board</v>
          </cell>
        </row>
        <row r="56">
          <cell r="B56">
            <v>49</v>
          </cell>
          <cell r="P56" t="str">
            <v>Waterloo Catholic District School Board</v>
          </cell>
        </row>
        <row r="57">
          <cell r="B57">
            <v>50</v>
          </cell>
          <cell r="P57" t="str">
            <v>Niagara Catholic District School Board</v>
          </cell>
        </row>
        <row r="58">
          <cell r="B58">
            <v>51</v>
          </cell>
          <cell r="P58" t="str">
            <v>Brant Haldimand Norfolk Catholic District School Board</v>
          </cell>
        </row>
        <row r="59">
          <cell r="B59">
            <v>52</v>
          </cell>
          <cell r="P59" t="str">
            <v>Eastern Ontario Catholic District School Board</v>
          </cell>
        </row>
        <row r="60">
          <cell r="B60">
            <v>53</v>
          </cell>
          <cell r="P60" t="str">
            <v>Ottawa Catholic District School Board</v>
          </cell>
        </row>
        <row r="61">
          <cell r="B61">
            <v>54</v>
          </cell>
          <cell r="P61" t="str">
            <v>Renfrew County Catholic District School Board</v>
          </cell>
        </row>
        <row r="62">
          <cell r="B62">
            <v>55</v>
          </cell>
          <cell r="P62" t="str">
            <v>Algonquin and Lakeshore Catholic District School Board</v>
          </cell>
        </row>
        <row r="63">
          <cell r="B63">
            <v>56</v>
          </cell>
          <cell r="P63" t="str">
            <v>Conseil scolaire public du Nord-Est de l'Ontario</v>
          </cell>
        </row>
        <row r="64">
          <cell r="B64">
            <v>57</v>
          </cell>
          <cell r="P64" t="str">
            <v>Conseil scolaire public du Grand Nord de l’Ontario</v>
          </cell>
        </row>
        <row r="65">
          <cell r="B65">
            <v>58</v>
          </cell>
          <cell r="P65" t="str">
            <v>Conseil scolaire Viamonde</v>
          </cell>
        </row>
        <row r="66">
          <cell r="B66">
            <v>59</v>
          </cell>
          <cell r="P66" t="str">
            <v>Conseil des écoles publiques de l'Est de l'Ontario</v>
          </cell>
        </row>
        <row r="67">
          <cell r="B67" t="str">
            <v>60A</v>
          </cell>
          <cell r="P67" t="str">
            <v>Conseil scolaire de district catholique  des Grandes Rivières</v>
          </cell>
        </row>
        <row r="68">
          <cell r="B68" t="str">
            <v>60B</v>
          </cell>
          <cell r="P68" t="str">
            <v>Conseil scolaire de district catholique Franco-Nord</v>
          </cell>
        </row>
        <row r="69">
          <cell r="B69">
            <v>61</v>
          </cell>
          <cell r="P69" t="str">
            <v>Conseil scolaire de district catholique du Nouvel-Ontario</v>
          </cell>
        </row>
        <row r="70">
          <cell r="B70">
            <v>62</v>
          </cell>
          <cell r="P70" t="str">
            <v>Conseil scolaire de district catholique des Aurores boréales</v>
          </cell>
        </row>
        <row r="71">
          <cell r="B71">
            <v>63</v>
          </cell>
          <cell r="P71" t="str">
            <v>Conseil scolaire catholique Providence</v>
          </cell>
        </row>
        <row r="72">
          <cell r="B72">
            <v>64</v>
          </cell>
          <cell r="P72" t="str">
            <v>Conseil scolaire catholique MonAvenir</v>
          </cell>
        </row>
        <row r="73">
          <cell r="B73">
            <v>65</v>
          </cell>
          <cell r="P73" t="str">
            <v>Conseil scolaire de district catholique de l'Est ontarien</v>
          </cell>
        </row>
        <row r="74">
          <cell r="B74">
            <v>66</v>
          </cell>
          <cell r="P74" t="str">
            <v>Conseil scolaire de district catholique du Centre-Est de l'Ontario</v>
          </cell>
        </row>
        <row r="75">
          <cell r="B75">
            <v>100</v>
          </cell>
          <cell r="P75" t="str">
            <v>James Bay Lowlands Secondary School Board</v>
          </cell>
        </row>
        <row r="76">
          <cell r="B76">
            <v>101</v>
          </cell>
          <cell r="P76" t="str">
            <v>Moose Factory Island District School Area Board</v>
          </cell>
        </row>
        <row r="77">
          <cell r="B77">
            <v>102</v>
          </cell>
          <cell r="P77" t="str">
            <v>Moosonee District School Area Board</v>
          </cell>
        </row>
        <row r="78">
          <cell r="B78">
            <v>103</v>
          </cell>
          <cell r="P78" t="str">
            <v>Penetanguishene Protestant Separate School Board</v>
          </cell>
        </row>
        <row r="79">
          <cell r="B79" t="str">
            <v>X1</v>
          </cell>
          <cell r="P79" t="str">
            <v>Campbell Children's School Authority</v>
          </cell>
        </row>
        <row r="80">
          <cell r="B80" t="str">
            <v>X2</v>
          </cell>
          <cell r="P80" t="str">
            <v>Bloorview School Authority</v>
          </cell>
        </row>
        <row r="81">
          <cell r="B81" t="str">
            <v>X3</v>
          </cell>
          <cell r="P81" t="str">
            <v>John McGivney Children's Centre School Authority</v>
          </cell>
        </row>
        <row r="82">
          <cell r="B82" t="str">
            <v>X4</v>
          </cell>
          <cell r="P82" t="str">
            <v>KidsAbility Education Authority</v>
          </cell>
        </row>
        <row r="83">
          <cell r="B83" t="str">
            <v>X5</v>
          </cell>
          <cell r="P83" t="str">
            <v>Niagara Peninsula Children's Centre School Authority</v>
          </cell>
        </row>
        <row r="84">
          <cell r="B84" t="str">
            <v>X6</v>
          </cell>
          <cell r="P84" t="str">
            <v>Ottawa Children's Treatment Centre School Authority/CHEO School</v>
          </cell>
        </row>
        <row r="85">
          <cell r="B85" t="str">
            <v>X7</v>
          </cell>
          <cell r="P85" t="str">
            <v>Consortium Center Jules-Léger</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Board Ventilation Strategy"/>
      <sheetName val="2. Board Level Investments"/>
      <sheetName val="3. School Dashboard"/>
      <sheetName val="4. Board Level Worksheet"/>
      <sheetName val="5. School Level Worksheet"/>
      <sheetName val="Board Ventilation Strate-PY"/>
      <sheetName val="Funding Tables"/>
      <sheetName val="Dashboard Excel MockUp - July 2"/>
    </sheetNames>
    <sheetDataSet>
      <sheetData sheetId="0"/>
      <sheetData sheetId="1"/>
      <sheetData sheetId="2"/>
      <sheetData sheetId="3">
        <row r="5">
          <cell r="C5" t="str">
            <v>District School Board Ontario North East</v>
          </cell>
        </row>
        <row r="18">
          <cell r="C18">
            <v>0.875108</v>
          </cell>
        </row>
        <row r="19">
          <cell r="C19">
            <v>0.46170500000000003</v>
          </cell>
        </row>
      </sheetData>
      <sheetData sheetId="4"/>
      <sheetData sheetId="5"/>
      <sheetData sheetId="6"/>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M43" totalsRowCount="1" headerRowDxfId="26" dataDxfId="25">
  <autoFilter ref="A5:M42" xr:uid="{2A565CC2-0D5F-4CE8-80FF-539C60E8AD36}"/>
  <tableColumns count="13">
    <tableColumn id="1" xr3:uid="{A9CAB48F-4ED3-4393-BD42-A44E1BCC09AD}" name="Nom de l’établissement scolaire"/>
    <tableColumn id="2" xr3:uid="{9810C622-DB9C-4222-852B-9DFB26916BCD}" name="No du bâtiment"/>
    <tableColumn id="3" xr3:uid="{824B94AA-6AF0-457D-91C8-967BB2972B88}" name="Type de ventilation de l’établissement scolaire" dataDxfId="24" totalsRowDxfId="23"/>
    <tableColumn id="4" xr3:uid="{971F9387-6B2F-4FCE-AE69-30E48A085B27}" name="Ventilation évaluée" dataDxfId="22" totalsRowDxfId="21"/>
    <tableColumn id="5" xr3:uid="{1FE63AEF-B1BE-46F6-8CFC-5661EBF6328E}" name="Les systèmes de ventilation fonctionnent plus longtemps" dataDxfId="20" totalsRowDxfId="19"/>
    <tableColumn id="6" xr3:uid="{3CAB1762-5555-4B9B-B61D-39BDCF2528F1}" name="Filtres de qualité supérieure installés" dataDxfId="18" totalsRowDxfId="17"/>
    <tableColumn id="7" xr3:uid="{56A72B1A-802C-409A-9309-5BE04DCF3E58}" name="Fréquence des changements de filtre augmentée" dataDxfId="16" totalsRowDxfId="15"/>
    <tableColumn id="8" xr3:uid="{13FB0FA1-B62E-4E55-9B39-65565BE097E6}" name="Admission d’air frais augmentée (fenêtres et [ou] systèmes de ventilation mécanique)" dataDxfId="14" totalsRowDxfId="13"/>
    <tableColumn id="10" xr3:uid="{FD69C0EB-9B34-4CD6-B72D-78970B1FE525}" name="Unités de filtration HEPA déployées dans les classes portatives, au besoin " dataDxfId="12" totalsRowDxfId="11"/>
    <tableColumn id="11" xr3:uid="{B0F1D5F8-14E6-41CB-8BD4-B8EDB20C72E7}" name="Nombre d'unités de filtration d’air HEPA autonomes en place" totalsRowFunction="custom" dataDxfId="10" totalsRowDxfId="9">
      <totalsRowFormula>+Table1[[#Totals],[Colonne1]]+Table1[[#Totals],[Colonne2]]</totalsRowFormula>
    </tableColumn>
    <tableColumn id="12" xr3:uid="{B33F2A49-E183-4E4C-987D-8809AF03C25D}" name="No du conseil" dataDxfId="8" totalsRowDxfId="7"/>
    <tableColumn id="9" xr3:uid="{597B6536-60D4-4A03-811B-F008557D920D}" name="Colonne1" dataDxfId="6" totalsRowDxfId="5"/>
    <tableColumn id="13" xr3:uid="{DBEACBA5-3E06-4B61-810B-A09357F3F6A2}" name="Colonne2" dataDxfId="4" totalsRow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12DAE9-C0DB-4F66-A767-906508560008}" name="HVAC_Type3" displayName="HVAC_Type3" ref="AE2:AE5" totalsRowShown="0" headerRowDxfId="2" dataDxfId="1">
  <autoFilter ref="AE2:AE5" xr:uid="{5C5ADB90-6CC4-45C1-9B7A-0C3D61B00888}"/>
  <tableColumns count="1">
    <tableColumn id="1" xr3:uid="{E431F6A9-B7EE-4862-81D8-CA8467DE7E6B}" name="HVAC System Type" dataDxfId="0"/>
  </tableColumns>
  <tableStyleInfo name="TableStyleMedium2" showFirstColumn="0" showLastColumn="0" showRowStripes="0"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I37"/>
  <sheetViews>
    <sheetView showGridLines="0" showRowColHeaders="0" zoomScaleNormal="100" workbookViewId="0">
      <selection activeCell="B7" sqref="B7"/>
    </sheetView>
  </sheetViews>
  <sheetFormatPr baseColWidth="10" defaultColWidth="0" defaultRowHeight="15" zeroHeight="1"/>
  <cols>
    <col min="1" max="1" width="8.85546875" customWidth="1"/>
    <col min="2" max="8" width="16.85546875" customWidth="1"/>
    <col min="9" max="9" width="8.85546875" customWidth="1"/>
    <col min="10" max="16384" width="8.85546875" hidden="1"/>
  </cols>
  <sheetData>
    <row r="1" spans="1:8" ht="15.75">
      <c r="A1" s="58" t="s">
        <v>140</v>
      </c>
    </row>
    <row r="2" spans="1:8" ht="60.75" customHeight="1">
      <c r="B2" s="135"/>
      <c r="C2" s="135"/>
      <c r="D2" s="135"/>
      <c r="E2" s="135"/>
      <c r="F2" s="135"/>
      <c r="G2" s="135"/>
      <c r="H2" s="135"/>
    </row>
    <row r="3" spans="1:8" ht="15" customHeight="1">
      <c r="A3" s="54"/>
    </row>
    <row r="4" spans="1:8" ht="39.950000000000003" customHeight="1">
      <c r="B4" s="136" t="s">
        <v>141</v>
      </c>
      <c r="C4" s="136"/>
      <c r="D4" s="136"/>
      <c r="E4" s="136"/>
      <c r="F4" s="136"/>
      <c r="G4" s="136"/>
      <c r="H4" s="136"/>
    </row>
    <row r="5" spans="1:8" ht="39.950000000000003" customHeight="1">
      <c r="B5" s="136"/>
      <c r="C5" s="136"/>
      <c r="D5" s="136"/>
      <c r="E5" s="136"/>
      <c r="F5" s="136"/>
      <c r="G5" s="136"/>
      <c r="H5" s="136"/>
    </row>
    <row r="6" spans="1:8" ht="5.0999999999999996" customHeight="1"/>
    <row r="7" spans="1:8" ht="45.95" customHeight="1">
      <c r="A7" s="55"/>
      <c r="B7" s="56"/>
      <c r="C7" s="137"/>
      <c r="D7" s="137"/>
      <c r="E7" s="137"/>
      <c r="F7" s="137"/>
      <c r="G7" s="137"/>
    </row>
    <row r="8" spans="1:8">
      <c r="A8" s="56"/>
      <c r="B8" s="56"/>
    </row>
    <row r="9" spans="1:8">
      <c r="A9" s="56"/>
      <c r="B9" s="56"/>
    </row>
    <row r="10" spans="1:8">
      <c r="A10" s="56"/>
      <c r="B10" s="56"/>
    </row>
    <row r="11" spans="1:8">
      <c r="A11" s="55"/>
      <c r="B11" s="56"/>
    </row>
    <row r="12" spans="1:8">
      <c r="A12" s="56"/>
      <c r="B12" s="56"/>
    </row>
    <row r="13" spans="1:8">
      <c r="A13" s="56"/>
      <c r="B13" s="56"/>
    </row>
    <row r="14" spans="1:8">
      <c r="A14" s="56"/>
      <c r="B14" s="56"/>
    </row>
    <row r="15" spans="1:8">
      <c r="A15" s="56"/>
      <c r="B15" s="56"/>
    </row>
    <row r="16" spans="1:8"/>
    <row r="17"/>
    <row r="18"/>
    <row r="19"/>
    <row r="20"/>
    <row r="21"/>
    <row r="22"/>
    <row r="23"/>
    <row r="24"/>
    <row r="25"/>
    <row r="26"/>
    <row r="27"/>
    <row r="28"/>
    <row r="29"/>
    <row r="30"/>
    <row r="31"/>
    <row r="32"/>
    <row r="33"/>
    <row r="34"/>
    <row r="35"/>
    <row r="36"/>
    <row r="37"/>
  </sheetData>
  <sheetProtection algorithmName="SHA-512" hashValue="qIa06QEWFivNsyp1Vbw0zNGx9z9U+wYTwcHM+TnLVcUI0r8EzSd4SU202CGZh+WH7LuoiPZVrLtZjwmS1ae8zA==" saltValue="PBpqHVOerZoW6cyad+PCNA==" spinCount="100000" sheet="1" objects="1" scenarios="1"/>
  <mergeCells count="3">
    <mergeCell ref="B2:H2"/>
    <mergeCell ref="B4:H5"/>
    <mergeCell ref="C7:G7"/>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tint="-0.499984740745262"/>
    <pageSetUpPr fitToPage="1"/>
  </sheetPr>
  <dimension ref="A1:XFC33"/>
  <sheetViews>
    <sheetView zoomScaleNormal="100" workbookViewId="0">
      <selection activeCell="A14" sqref="A14"/>
    </sheetView>
  </sheetViews>
  <sheetFormatPr baseColWidth="10" defaultColWidth="0" defaultRowHeight="15" zeroHeight="1"/>
  <cols>
    <col min="1" max="1" width="3.85546875" style="1" customWidth="1"/>
    <col min="2" max="13" width="10.85546875" style="1" customWidth="1"/>
    <col min="14" max="14" width="9.140625" style="1" customWidth="1"/>
    <col min="15" max="15" width="3.85546875" style="1" customWidth="1"/>
    <col min="16" max="5704" width="0" style="1" hidden="1" customWidth="1"/>
    <col min="5705" max="16383" width="8.85546875" style="1" hidden="1"/>
    <col min="16384" max="16384" width="8.140625" style="1" hidden="1"/>
  </cols>
  <sheetData>
    <row r="1" spans="1:2" ht="15.75">
      <c r="A1" s="58" t="s">
        <v>139</v>
      </c>
    </row>
    <row r="2" spans="1:2" ht="15.75">
      <c r="A2" s="57"/>
    </row>
    <row r="3" spans="1:2"/>
    <row r="4" spans="1:2" ht="20.25" customHeight="1"/>
    <row r="5" spans="1:2">
      <c r="A5" s="2"/>
      <c r="B5" s="2"/>
    </row>
    <row r="6" spans="1:2">
      <c r="A6" s="2"/>
      <c r="B6" s="2"/>
    </row>
    <row r="7" spans="1:2">
      <c r="A7" s="2"/>
      <c r="B7" s="2"/>
    </row>
    <row r="8" spans="1:2">
      <c r="A8" s="2"/>
      <c r="B8" s="2"/>
    </row>
    <row r="9" spans="1:2">
      <c r="A9" s="2"/>
      <c r="B9" s="2"/>
    </row>
    <row r="10" spans="1:2">
      <c r="A10" s="2"/>
      <c r="B10" s="2"/>
    </row>
    <row r="11" spans="1:2">
      <c r="A11" s="2"/>
      <c r="B11" s="2"/>
    </row>
    <row r="12" spans="1:2">
      <c r="A12" s="2"/>
      <c r="B12" s="2"/>
    </row>
    <row r="13" spans="1:2">
      <c r="A13" s="2"/>
      <c r="B13" s="2"/>
    </row>
    <row r="14" spans="1:2"/>
    <row r="15" spans="1:2"/>
    <row r="16" spans="1:2"/>
    <row r="17"/>
    <row r="18"/>
    <row r="19"/>
    <row r="20"/>
    <row r="21"/>
    <row r="22"/>
    <row r="23"/>
    <row r="24"/>
    <row r="25"/>
    <row r="26"/>
    <row r="27"/>
    <row r="28"/>
    <row r="29"/>
    <row r="30"/>
    <row r="31"/>
    <row r="32"/>
    <row r="33" spans="2:14" ht="27.75" hidden="1" customHeight="1">
      <c r="B33" s="138"/>
      <c r="C33" s="138"/>
      <c r="D33" s="138"/>
      <c r="E33" s="138"/>
      <c r="F33" s="138"/>
      <c r="G33" s="138"/>
      <c r="H33" s="138"/>
      <c r="I33" s="138"/>
      <c r="J33" s="138"/>
      <c r="K33" s="138"/>
      <c r="L33" s="138"/>
      <c r="M33" s="138"/>
      <c r="N33" s="138"/>
    </row>
  </sheetData>
  <sheetProtection algorithmName="SHA-512" hashValue="HS6+dhZUeHid05vMTF8HdIX/wM3RM83l1LS+DgRfipBiA/J2zpNv5OoIXJlPMq+M6DF0eCkFYl87IGhglu68Yg==" saltValue="k0x5ZrrXtvaKdJ8YJrBYaA==" spinCount="100000" sheet="1" objects="1" scenarios="1"/>
  <mergeCells count="1">
    <mergeCell ref="B33:N33"/>
  </mergeCell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9" tint="-0.249977111117893"/>
    <pageSetUpPr fitToPage="1"/>
  </sheetPr>
  <dimension ref="A1:XFC26"/>
  <sheetViews>
    <sheetView showGridLines="0" showRowColHeaders="0" tabSelected="1" zoomScaleNormal="100" workbookViewId="0">
      <selection activeCell="D5" sqref="D5"/>
    </sheetView>
  </sheetViews>
  <sheetFormatPr baseColWidth="10" defaultColWidth="0" defaultRowHeight="15" zeroHeight="1"/>
  <cols>
    <col min="1" max="1" width="3.85546875" style="1" customWidth="1"/>
    <col min="2" max="3" width="15.5703125" style="1" customWidth="1"/>
    <col min="4" max="4" width="36.85546875" style="1" customWidth="1"/>
    <col min="5" max="5" width="21.42578125" style="1" customWidth="1"/>
    <col min="6" max="6" width="21.140625" style="1" customWidth="1"/>
    <col min="7" max="7" width="3.7109375" style="1" customWidth="1"/>
    <col min="8" max="8" width="3.85546875" style="2" hidden="1"/>
    <col min="9" max="9" width="3.5703125" style="2" hidden="1"/>
    <col min="10" max="10" width="19.42578125" style="2" hidden="1"/>
    <col min="11" max="16380" width="6.140625" style="1" hidden="1"/>
    <col min="16381" max="16381" width="4.140625" style="1" hidden="1"/>
    <col min="16382" max="16382" width="3.85546875" style="1" hidden="1"/>
    <col min="16383" max="16383" width="6.42578125" style="1" hidden="1"/>
    <col min="16384" max="16384" width="6.140625" style="1" hidden="1"/>
  </cols>
  <sheetData>
    <row r="1" spans="1:9" ht="15.75">
      <c r="A1" s="58" t="s">
        <v>138</v>
      </c>
    </row>
    <row r="2" spans="1:9" s="2" customFormat="1" ht="53.1" customHeight="1">
      <c r="A2" s="57"/>
      <c r="B2" s="143"/>
      <c r="C2" s="143"/>
      <c r="D2" s="143"/>
      <c r="E2" s="143"/>
      <c r="F2" s="143"/>
    </row>
    <row r="3" spans="1:9" s="2" customFormat="1" ht="12.95" customHeight="1">
      <c r="A3" s="1"/>
      <c r="B3" s="1"/>
      <c r="C3" s="1"/>
      <c r="D3" s="1"/>
      <c r="E3" s="1"/>
      <c r="F3" s="1"/>
    </row>
    <row r="4" spans="1:9" s="2" customFormat="1" ht="12.95" customHeight="1">
      <c r="A4" s="1"/>
      <c r="B4" s="1"/>
      <c r="C4" s="1"/>
      <c r="D4" s="1"/>
      <c r="E4" s="1"/>
      <c r="F4" s="1"/>
    </row>
    <row r="5" spans="1:9" s="2" customFormat="1" ht="24.95" customHeight="1">
      <c r="A5" s="1"/>
      <c r="B5" s="144" t="s">
        <v>127</v>
      </c>
      <c r="C5" s="145"/>
      <c r="D5" s="83" t="s">
        <v>79</v>
      </c>
      <c r="E5" s="3"/>
      <c r="F5" s="4"/>
      <c r="H5" s="12"/>
    </row>
    <row r="6" spans="1:9" s="2" customFormat="1" ht="6.75" customHeight="1">
      <c r="A6" s="1"/>
      <c r="B6" s="1"/>
      <c r="C6" s="1"/>
      <c r="D6" s="1"/>
      <c r="E6" s="1"/>
      <c r="F6" s="1"/>
    </row>
    <row r="7" spans="1:9" s="2" customFormat="1" ht="24.95" customHeight="1">
      <c r="A7" s="1"/>
      <c r="B7" s="6" t="s">
        <v>128</v>
      </c>
      <c r="C7" s="7"/>
      <c r="D7" s="5" t="str">
        <f>INDEX(Table1[Type de ventilation de l’établissement scolaire],MATCH('3. Tableau de bord de l’école'!D5,Table1[Nom de l’établissement scolaire],0),1)</f>
        <v>Ventilation partiellement mécanique</v>
      </c>
      <c r="E7" s="17"/>
      <c r="F7" s="9"/>
    </row>
    <row r="8" spans="1:9" s="2" customFormat="1" ht="12.6" customHeight="1">
      <c r="A8" s="1"/>
      <c r="B8" s="1"/>
      <c r="C8" s="1"/>
      <c r="D8" s="1"/>
      <c r="E8" s="1"/>
      <c r="F8" s="1"/>
    </row>
    <row r="9" spans="1:9" s="2" customFormat="1" ht="27" customHeight="1">
      <c r="A9" s="1"/>
      <c r="B9" s="144" t="s">
        <v>129</v>
      </c>
      <c r="C9" s="145"/>
      <c r="D9" s="145"/>
      <c r="E9" s="145"/>
      <c r="F9" s="146"/>
    </row>
    <row r="10" spans="1:9" s="2" customFormat="1" ht="18" customHeight="1">
      <c r="A10" s="1"/>
      <c r="B10" s="147" t="s">
        <v>132</v>
      </c>
      <c r="C10" s="148"/>
      <c r="D10" s="148"/>
      <c r="E10" s="43" t="str">
        <f>IF(AND(I10="SO", $D$7="Ventilation non mécanique (ventilation naturelle/extraction seulement)"),"Sans objet", "")</f>
        <v/>
      </c>
      <c r="F10" s="8">
        <f>IF(I10="SO",-1,IF(I10="Oui",1,0))</f>
        <v>1</v>
      </c>
      <c r="I10" s="42" t="str">
        <f>INDEX(Table1[Ventilation évaluée],MATCH('3. Tableau de bord de l’école'!$D$5,Table1[Nom de l’établissement scolaire],0))</f>
        <v>Oui</v>
      </c>
    </row>
    <row r="11" spans="1:9" s="2" customFormat="1" ht="18" customHeight="1">
      <c r="A11" s="1"/>
      <c r="B11" s="147" t="s">
        <v>133</v>
      </c>
      <c r="C11" s="148"/>
      <c r="D11" s="148"/>
      <c r="E11" s="43" t="str">
        <f>IF(AND(I11="SO", $D$7="Ventilation non mécanique (ventilation naturelle/extraction seulement)"),"Sans objet", "")</f>
        <v/>
      </c>
      <c r="F11" s="8">
        <f>IF($I11="SO",-1,IF(I11="Oui",1,0))</f>
        <v>1</v>
      </c>
      <c r="I11" s="42" t="str">
        <f>INDEX(Table1[Les systèmes de ventilation fonctionnent plus longtemps],MATCH('3. Tableau de bord de l’école'!$D$5,Table1[Nom de l’établissement scolaire],0))</f>
        <v>Oui</v>
      </c>
    </row>
    <row r="12" spans="1:9" s="2" customFormat="1" ht="18" customHeight="1">
      <c r="A12" s="1"/>
      <c r="B12" s="141" t="s">
        <v>134</v>
      </c>
      <c r="C12" s="142"/>
      <c r="D12" s="142"/>
      <c r="E12" s="43" t="str">
        <f>IF(AND(I12="SO", $D$7="Ventilation non mécanique (ventilation naturelle/extraction seulement)"),"Sans objet", "")</f>
        <v/>
      </c>
      <c r="F12" s="8">
        <f>IF($I12="SO",-1,IF(I12="Oui",1,0))</f>
        <v>1</v>
      </c>
      <c r="I12" s="42" t="str">
        <f>INDEX(Table1[Filtres de qualité supérieure installés],MATCH('3. Tableau de bord de l’école'!$D$5,Table1[Nom de l’établissement scolaire],0))</f>
        <v>Oui</v>
      </c>
    </row>
    <row r="13" spans="1:9" s="2" customFormat="1" ht="18" customHeight="1">
      <c r="A13" s="1"/>
      <c r="B13" s="141" t="s">
        <v>135</v>
      </c>
      <c r="C13" s="142"/>
      <c r="D13" s="142"/>
      <c r="E13" s="43" t="str">
        <f>IF(AND(I13="SO", $D$7="Ventilation non mécanique (ventilation naturelle/extraction seulement)"),"Sans objet", "")</f>
        <v/>
      </c>
      <c r="F13" s="8">
        <f>IF(I13="SO",-1,IF(I13="Oui",1,0))</f>
        <v>1</v>
      </c>
      <c r="I13" s="42" t="str">
        <f>INDEX(Table1[Fréquence des changements de filtre augmentée],MATCH('3. Tableau de bord de l’école'!$D$5,Table1[Nom de l’établissement scolaire],0))</f>
        <v>Oui</v>
      </c>
    </row>
    <row r="14" spans="1:9" ht="18" customHeight="1">
      <c r="B14" s="141" t="s">
        <v>136</v>
      </c>
      <c r="C14" s="142"/>
      <c r="D14" s="142"/>
      <c r="E14" s="43" t="str">
        <f>IF(AND(I14="SO", $D$7="Ventilation non mécanique (ventilation naturelle/extraction seulement)"),"Sans objet", "")</f>
        <v/>
      </c>
      <c r="F14" s="8">
        <f>IF(I14="SO",-1,IF(I14="Oui",1,0))</f>
        <v>1</v>
      </c>
      <c r="G14" s="10"/>
      <c r="I14" s="42" t="str">
        <f>INDEX(Table1[Admission d’air frais augmentée (fenêtres et '[ou'] systèmes de ventilation mécanique)],MATCH('3. Tableau de bord de l’école'!$D$5,Table1[Nom de l’établissement scolaire],0))</f>
        <v>Oui</v>
      </c>
    </row>
    <row r="15" spans="1:9" ht="18" customHeight="1">
      <c r="B15" s="141" t="s">
        <v>137</v>
      </c>
      <c r="C15" s="142"/>
      <c r="D15" s="142"/>
      <c r="E15" s="43" t="str">
        <f>IF(I15="SO", "Sans objet", "")</f>
        <v>Sans objet</v>
      </c>
      <c r="F15" s="68">
        <f>IF(I15="SO",-1,IF(I15="Oui",1,0))</f>
        <v>-1</v>
      </c>
      <c r="G15" s="10"/>
      <c r="I15" s="42" t="str">
        <f>INDEX(Table1[Unités de filtration HEPA déployées dans les classes portatives, au besoin ],MATCH('3. Tableau de bord de l’école'!$D$5,Table1[Nom de l’établissement scolaire],0))</f>
        <v>SO</v>
      </c>
    </row>
    <row r="16" spans="1:9" ht="18" customHeight="1">
      <c r="B16" s="139" t="s">
        <v>99</v>
      </c>
      <c r="C16" s="140"/>
      <c r="D16" s="140"/>
      <c r="E16" s="140"/>
      <c r="F16" s="71">
        <f>INDEX(Table1[Nombre d''unités de filtration d’air HEPA autonomes en place],MATCH('3. Tableau de bord de l’école'!$D$5,Table1[Nom de l’établissement scolaire],0))</f>
        <v>51</v>
      </c>
      <c r="G16" s="11"/>
      <c r="I16" s="42">
        <f>INDEX(Table1[Nombre d''unités de filtration d’air HEPA autonomes en place],MATCH('3. Tableau de bord de l’école'!$D$5,Table1[Nom de l’établissement scolaire],0))</f>
        <v>51</v>
      </c>
    </row>
    <row r="17" spans="2:2" ht="27" customHeight="1">
      <c r="B17" s="86" t="s">
        <v>131</v>
      </c>
    </row>
    <row r="18" spans="2:2">
      <c r="B18" s="87" t="s">
        <v>130</v>
      </c>
    </row>
    <row r="26" spans="2:2" ht="3.95" hidden="1" customHeight="1"/>
  </sheetData>
  <sheetProtection algorithmName="SHA-512" hashValue="PTGJfxN3rh6t0VEc6Fa2fvPVtz/1LfSbaSOoHZ50BovYd7MjlHmHsSio/T8cKIaIg133iO9r+7CL9zNTcUE+dw==" saltValue="tB5UWZNPpR6xv41THonpfg==" spinCount="100000" sheet="1" objects="1" scenarios="1" autoFilter="0"/>
  <mergeCells count="10">
    <mergeCell ref="B2:F2"/>
    <mergeCell ref="B5:C5"/>
    <mergeCell ref="B9:F9"/>
    <mergeCell ref="B10:D10"/>
    <mergeCell ref="B11:D11"/>
    <mergeCell ref="B16:E16"/>
    <mergeCell ref="B12:D12"/>
    <mergeCell ref="B13:D13"/>
    <mergeCell ref="B14:D14"/>
    <mergeCell ref="B15:D15"/>
  </mergeCells>
  <conditionalFormatting sqref="I10">
    <cfRule type="iconSet" priority="10">
      <iconSet iconSet="3Symbols2">
        <cfvo type="percent" val="0"/>
        <cfvo type="percent" val="33"/>
        <cfvo type="percent" val="67"/>
      </iconSet>
    </cfRule>
  </conditionalFormatting>
  <conditionalFormatting sqref="I11">
    <cfRule type="iconSet" priority="7">
      <iconSet iconSet="3Symbols2">
        <cfvo type="percent" val="0"/>
        <cfvo type="percent" val="33"/>
        <cfvo type="percent" val="67"/>
      </iconSet>
    </cfRule>
  </conditionalFormatting>
  <conditionalFormatting sqref="I12">
    <cfRule type="iconSet" priority="6">
      <iconSet iconSet="3Symbols2">
        <cfvo type="percent" val="0"/>
        <cfvo type="percent" val="33"/>
        <cfvo type="percent" val="67"/>
      </iconSet>
    </cfRule>
  </conditionalFormatting>
  <conditionalFormatting sqref="I13">
    <cfRule type="iconSet" priority="5">
      <iconSet iconSet="3Symbols2">
        <cfvo type="percent" val="0"/>
        <cfvo type="percent" val="33"/>
        <cfvo type="percent" val="67"/>
      </iconSet>
    </cfRule>
  </conditionalFormatting>
  <conditionalFormatting sqref="I14">
    <cfRule type="iconSet" priority="4">
      <iconSet iconSet="3Symbols2">
        <cfvo type="percent" val="0"/>
        <cfvo type="percent" val="33"/>
        <cfvo type="percent" val="67"/>
      </iconSet>
    </cfRule>
  </conditionalFormatting>
  <conditionalFormatting sqref="I15">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81"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7" tint="0.79998168889431442"/>
    <pageSetUpPr fitToPage="1"/>
  </sheetPr>
  <dimension ref="A1:W28"/>
  <sheetViews>
    <sheetView topLeftCell="N6" zoomScale="115" zoomScaleNormal="115" workbookViewId="0">
      <selection activeCell="U18" sqref="U18"/>
    </sheetView>
  </sheetViews>
  <sheetFormatPr baseColWidth="10" defaultColWidth="8.7109375" defaultRowHeight="15"/>
  <cols>
    <col min="1" max="1" width="6.140625" style="34" customWidth="1"/>
    <col min="2" max="2" width="68.140625" style="20" customWidth="1"/>
    <col min="3" max="3" width="57.85546875" customWidth="1"/>
    <col min="4" max="4" width="17.42578125" customWidth="1"/>
    <col min="5" max="23" width="15.85546875" customWidth="1"/>
  </cols>
  <sheetData>
    <row r="1" spans="1:23" ht="16.5" thickBot="1">
      <c r="A1" s="59" t="s">
        <v>100</v>
      </c>
      <c r="B1" s="32" t="s">
        <v>28</v>
      </c>
      <c r="C1" s="33" t="s">
        <v>101</v>
      </c>
    </row>
    <row r="2" spans="1:23" ht="19.5" thickBot="1">
      <c r="A2" s="16"/>
      <c r="B2" s="19"/>
      <c r="C2" s="13"/>
      <c r="F2" s="155" t="s">
        <v>113</v>
      </c>
      <c r="G2" s="156"/>
    </row>
    <row r="3" spans="1:23">
      <c r="A3" s="22"/>
      <c r="B3" s="23" t="s">
        <v>102</v>
      </c>
      <c r="C3" s="24"/>
      <c r="F3" s="80"/>
      <c r="G3" s="81" t="s">
        <v>112</v>
      </c>
    </row>
    <row r="4" spans="1:23" ht="15.75" thickBot="1">
      <c r="A4" s="16"/>
      <c r="B4" s="19"/>
      <c r="F4" s="82"/>
      <c r="G4" s="85" t="s">
        <v>114</v>
      </c>
    </row>
    <row r="5" spans="1:23">
      <c r="A5" s="16">
        <v>1</v>
      </c>
      <c r="B5" s="19" t="s">
        <v>104</v>
      </c>
      <c r="C5" s="21" t="s">
        <v>211</v>
      </c>
      <c r="D5" s="53" t="s">
        <v>111</v>
      </c>
      <c r="E5" s="69"/>
    </row>
    <row r="6" spans="1:23">
      <c r="B6" s="19"/>
    </row>
    <row r="7" spans="1:23">
      <c r="A7" s="16">
        <v>2</v>
      </c>
      <c r="B7" s="19" t="s">
        <v>105</v>
      </c>
    </row>
    <row r="8" spans="1:23" ht="45">
      <c r="A8" s="48">
        <v>2.1</v>
      </c>
      <c r="C8" s="70" t="str" cm="1">
        <f t="array" ref="C8">INDEX('Board Ventilation Strate-PY'!C:C,MATCH(1,(1='Board Ventilation Strate-PY'!A:A)*($C$5='Board Ventilation Strate-PY'!D:D),0))</f>
        <v>Prolonger l'horaire de fonctionnement des systèmes pour que la ventilation fonctionne 2 heures avant le début et 2 heures après les classes</v>
      </c>
      <c r="D8" s="53" t="s">
        <v>109</v>
      </c>
    </row>
    <row r="9" spans="1:23" ht="60">
      <c r="A9" s="51">
        <v>2.2000000000000002</v>
      </c>
      <c r="C9" s="70" t="str" cm="1">
        <f t="array" ref="C9">INDEX('Board Ventilation Strate-PY'!C:C,MATCH(1,(2='Board Ventilation Strate-PY'!A:A)*($C$5='Board Ventilation Strate-PY'!D:D),0))</f>
        <v>Ajustement des points de consignes qui ont pour effet d'augmenter l'apport d'air frais (p.ex. augmenter la position minimale des volets d'air frais, diminuer le point de consigne pour le CO2)</v>
      </c>
      <c r="D9" s="53" t="s">
        <v>109</v>
      </c>
    </row>
    <row r="10" spans="1:23" ht="30">
      <c r="A10" s="51">
        <v>2.2999999999999998</v>
      </c>
      <c r="C10" s="70" t="str" cm="1">
        <f t="array" ref="C10">INDEX('Board Ventilation Strate-PY'!C:C,MATCH(1,(3='Board Ventilation Strate-PY'!A:A)*($C$5='Board Ventilation Strate-PY'!D:D),0))</f>
        <v xml:space="preserve">Remplacer les filtres des systèmes de ventilation par des filtres MERV 13 </v>
      </c>
      <c r="D10" s="53" t="s">
        <v>109</v>
      </c>
    </row>
    <row r="11" spans="1:23" ht="30">
      <c r="A11" s="51">
        <v>2.4</v>
      </c>
      <c r="C11" s="70" t="str" cm="1">
        <f t="array" ref="C11">INDEX('Board Ventilation Strate-PY'!C:C,MATCH(1,(4='Board Ventilation Strate-PY'!A:A)*($C$5='Board Ventilation Strate-PY'!D:D),0))</f>
        <v>Ouvrir les fenêtres autant que possible et tel que toléré selon la température extérieure</v>
      </c>
      <c r="D11" s="53" t="s">
        <v>109</v>
      </c>
    </row>
    <row r="12" spans="1:23">
      <c r="A12" s="16"/>
      <c r="B12" s="19"/>
    </row>
    <row r="13" spans="1:23">
      <c r="A13" s="22"/>
      <c r="B13" s="23" t="s">
        <v>103</v>
      </c>
      <c r="C13" s="24"/>
    </row>
    <row r="14" spans="1:23">
      <c r="A14" s="16"/>
      <c r="B14" s="19"/>
      <c r="R14" s="44"/>
    </row>
    <row r="15" spans="1:23" ht="15.75" thickBot="1">
      <c r="A15" s="47">
        <v>3</v>
      </c>
      <c r="B15" s="46" t="s">
        <v>106</v>
      </c>
      <c r="C15" s="45"/>
      <c r="E15" s="160" t="s">
        <v>117</v>
      </c>
      <c r="F15" s="161"/>
      <c r="G15" s="161"/>
      <c r="H15" s="161"/>
      <c r="I15" s="161"/>
      <c r="J15" s="161"/>
      <c r="K15" s="161"/>
      <c r="L15" s="161"/>
      <c r="M15" s="161"/>
      <c r="N15" s="161"/>
      <c r="O15" s="161"/>
      <c r="P15" s="161"/>
      <c r="Q15" s="161"/>
      <c r="R15" s="162"/>
      <c r="S15" s="162"/>
      <c r="T15" s="162"/>
      <c r="U15" s="162"/>
      <c r="V15" s="162"/>
      <c r="W15" s="162"/>
    </row>
    <row r="16" spans="1:23" ht="15.75" thickBot="1">
      <c r="E16" s="149" t="s">
        <v>116</v>
      </c>
      <c r="F16" s="150"/>
      <c r="G16" s="150"/>
      <c r="H16" s="150"/>
      <c r="I16" s="150"/>
      <c r="J16" s="151"/>
      <c r="K16" s="152" t="s">
        <v>115</v>
      </c>
      <c r="L16" s="153"/>
      <c r="M16" s="153"/>
      <c r="N16" s="153"/>
      <c r="O16" s="153"/>
      <c r="P16" s="153"/>
      <c r="Q16" s="154"/>
      <c r="R16" s="157" t="s">
        <v>237</v>
      </c>
      <c r="S16" s="158"/>
      <c r="T16" s="158"/>
      <c r="U16" s="158"/>
      <c r="V16" s="158"/>
      <c r="W16" s="159"/>
    </row>
    <row r="17" spans="1:23" ht="90">
      <c r="C17" s="53" t="s">
        <v>108</v>
      </c>
      <c r="E17" s="49" t="s">
        <v>118</v>
      </c>
      <c r="F17" s="77" t="s">
        <v>118</v>
      </c>
      <c r="G17" s="77" t="s">
        <v>119</v>
      </c>
      <c r="H17" s="77" t="s">
        <v>120</v>
      </c>
      <c r="I17" s="77" t="s">
        <v>121</v>
      </c>
      <c r="J17" s="78" t="s">
        <v>122</v>
      </c>
      <c r="K17" s="84" t="s">
        <v>124</v>
      </c>
      <c r="L17" s="64" t="s">
        <v>123</v>
      </c>
      <c r="M17" s="64" t="s">
        <v>125</v>
      </c>
      <c r="N17" s="77" t="s">
        <v>120</v>
      </c>
      <c r="O17" s="77" t="s">
        <v>121</v>
      </c>
      <c r="P17" s="77" t="s">
        <v>119</v>
      </c>
      <c r="Q17" s="78" t="s">
        <v>122</v>
      </c>
      <c r="R17" s="64" t="s">
        <v>269</v>
      </c>
      <c r="S17" s="64" t="s">
        <v>270</v>
      </c>
      <c r="T17" s="77" t="s">
        <v>120</v>
      </c>
      <c r="U17" s="77" t="s">
        <v>121</v>
      </c>
      <c r="V17" s="77" t="s">
        <v>119</v>
      </c>
      <c r="W17" s="78" t="s">
        <v>122</v>
      </c>
    </row>
    <row r="18" spans="1:23" ht="30" customHeight="1">
      <c r="A18" s="50">
        <v>3.1</v>
      </c>
      <c r="B18" s="96" t="s">
        <v>261</v>
      </c>
      <c r="C18" s="52">
        <f>SUM(E18:Q18)</f>
        <v>3.1723290000000004</v>
      </c>
      <c r="D18" s="53"/>
      <c r="E18" s="99">
        <f>INDEX('Funding Tables'!Q:Q,MATCH('4. Feuille pour le conseil'!$C$5,'Funding Tables'!P:P,0))/1000000</f>
        <v>0.37</v>
      </c>
      <c r="F18" s="99">
        <f>INDEX('Funding Tables'!R:R,MATCH('4. Feuille pour le conseil'!$C$5,'Funding Tables'!P:P,0))/1000000</f>
        <v>0.37</v>
      </c>
      <c r="G18" s="134">
        <f>60000/1000000</f>
        <v>0.06</v>
      </c>
      <c r="H18" s="134">
        <v>0</v>
      </c>
      <c r="I18" s="134">
        <f>77929/1000000</f>
        <v>7.7928999999999998E-2</v>
      </c>
      <c r="J18" s="134">
        <f>152913/1000000</f>
        <v>0.15291299999999999</v>
      </c>
      <c r="K18" s="99">
        <f>INDEX('Funding Tables'!S:S,MATCH('4. Feuille pour le conseil'!$C$5,'Funding Tables'!P:P,0))/1000000</f>
        <v>0.119952</v>
      </c>
      <c r="L18" s="99">
        <f>INDEX('Funding Tables'!T:T,MATCH('4. Feuille pour le conseil'!$C$5,'Funding Tables'!P:P,0))/1000000</f>
        <v>2.8000000000000001E-2</v>
      </c>
      <c r="M18" s="99">
        <f>INDEX('Funding Tables'!V:V,MATCH('4. Feuille pour le conseil'!$C$5,'Funding Tables'!P:P,0))/1000000</f>
        <v>0.38500000000000001</v>
      </c>
      <c r="N18" s="134">
        <f>480630/1000000</f>
        <v>0.48063</v>
      </c>
      <c r="O18" s="134">
        <f>474905/1000000</f>
        <v>0.47490500000000002</v>
      </c>
      <c r="P18" s="134">
        <f>653000/1000000</f>
        <v>0.65300000000000002</v>
      </c>
      <c r="Q18" s="134">
        <v>0</v>
      </c>
      <c r="R18" s="95">
        <f>INDEX('Funding Tables'!W:W,MATCH('4. Feuille pour le conseil'!$C$5,'Funding Tables'!P:P,0))/1000000</f>
        <v>0.358433</v>
      </c>
      <c r="S18" s="95">
        <f>INDEX('Funding Tables'!X:X,MATCH('4. Feuille pour le conseil'!$C$5,'Funding Tables'!P:P,0))/1000000</f>
        <v>0.246583</v>
      </c>
      <c r="T18" s="134">
        <f>323000/1000000</f>
        <v>0.32300000000000001</v>
      </c>
      <c r="U18" s="134">
        <f>(2229648+61646)/1000000</f>
        <v>2.2912940000000002</v>
      </c>
      <c r="V18" s="134">
        <f>738000/1000000</f>
        <v>0.73799999999999999</v>
      </c>
      <c r="W18" s="134">
        <f>246583/1000000</f>
        <v>0.246583</v>
      </c>
    </row>
    <row r="19" spans="1:23" ht="30" customHeight="1">
      <c r="A19" s="50">
        <v>3.2</v>
      </c>
      <c r="B19" s="96" t="s">
        <v>262</v>
      </c>
      <c r="C19" s="52">
        <f>SUM(R18:W18)</f>
        <v>4.2038929999999999</v>
      </c>
      <c r="D19" s="53"/>
      <c r="E19" s="92"/>
      <c r="F19" s="92"/>
      <c r="G19" s="92"/>
      <c r="H19" s="92"/>
      <c r="I19" s="92"/>
      <c r="J19" s="92"/>
      <c r="K19" s="93"/>
      <c r="L19" s="93"/>
      <c r="M19" s="93"/>
      <c r="N19" s="94"/>
      <c r="O19" s="94"/>
      <c r="P19" s="94"/>
      <c r="Q19" s="94"/>
      <c r="R19" s="92"/>
      <c r="S19" s="92"/>
      <c r="T19" s="92"/>
      <c r="U19" s="92"/>
      <c r="V19" s="133"/>
      <c r="W19" s="92"/>
    </row>
    <row r="21" spans="1:23">
      <c r="A21" s="16">
        <v>3.3</v>
      </c>
      <c r="B21" s="97" t="s">
        <v>264</v>
      </c>
      <c r="C21" s="25">
        <f>13+4</f>
        <v>17</v>
      </c>
      <c r="D21" s="53" t="s">
        <v>109</v>
      </c>
      <c r="E21" t="s">
        <v>564</v>
      </c>
    </row>
    <row r="22" spans="1:23" ht="29.45" customHeight="1">
      <c r="A22" s="16">
        <v>3.4</v>
      </c>
      <c r="B22" s="98" t="s">
        <v>263</v>
      </c>
      <c r="C22" s="25">
        <v>34</v>
      </c>
      <c r="D22" s="53" t="s">
        <v>109</v>
      </c>
    </row>
    <row r="23" spans="1:23" ht="30">
      <c r="A23" s="16">
        <v>3.5</v>
      </c>
      <c r="B23" s="98" t="s">
        <v>267</v>
      </c>
      <c r="C23" s="75">
        <f>IFERROR(C22/ROWS(Table1[Nom de l’établissement scolaire]),"")</f>
        <v>0.91891891891891897</v>
      </c>
      <c r="D23" s="53" t="s">
        <v>110</v>
      </c>
    </row>
    <row r="24" spans="1:23">
      <c r="A24" s="16">
        <v>3.6</v>
      </c>
      <c r="B24" s="97" t="s">
        <v>265</v>
      </c>
      <c r="C24" s="25">
        <f>7+1</f>
        <v>8</v>
      </c>
      <c r="D24" s="53" t="s">
        <v>109</v>
      </c>
    </row>
    <row r="25" spans="1:23">
      <c r="A25" s="16">
        <v>3.7</v>
      </c>
      <c r="B25" s="97" t="s">
        <v>266</v>
      </c>
      <c r="C25" s="25">
        <v>8</v>
      </c>
      <c r="D25" s="53" t="s">
        <v>109</v>
      </c>
    </row>
    <row r="26" spans="1:23" ht="30">
      <c r="A26" s="16">
        <v>3.8</v>
      </c>
      <c r="B26" s="98" t="s">
        <v>268</v>
      </c>
      <c r="C26" s="75">
        <f>IFERROR(C25/ROWS(Table1[Nom de l’établissement scolaire]),"")</f>
        <v>0.21621621621621623</v>
      </c>
      <c r="D26" s="53" t="s">
        <v>110</v>
      </c>
    </row>
    <row r="27" spans="1:23">
      <c r="A27" s="16"/>
      <c r="B27" s="19"/>
      <c r="C27" s="20"/>
      <c r="D27" s="53"/>
    </row>
    <row r="28" spans="1:23">
      <c r="A28" s="47">
        <v>4</v>
      </c>
      <c r="B28" s="46" t="s">
        <v>107</v>
      </c>
      <c r="C28" s="72">
        <v>483</v>
      </c>
      <c r="D28" s="53" t="s">
        <v>109</v>
      </c>
    </row>
  </sheetData>
  <mergeCells count="5">
    <mergeCell ref="E16:J16"/>
    <mergeCell ref="K16:Q16"/>
    <mergeCell ref="F2:G2"/>
    <mergeCell ref="R16:W16"/>
    <mergeCell ref="E15:W15"/>
  </mergeCells>
  <phoneticPr fontId="20" type="noConversion"/>
  <dataValidations count="1">
    <dataValidation operator="lessThan" allowBlank="1" showInputMessage="1" showErrorMessage="1" sqref="E8 C8" xr:uid="{25D9E677-DE32-483F-AF8A-24038D659400}"/>
  </dataValidations>
  <pageMargins left="0.7" right="0.7" top="0.75" bottom="0.75" header="0.3" footer="0.3"/>
  <pageSetup scale="2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EB7B65-5C6D-4C09-A49F-8E0DD2444495}">
          <x14:formula1>
            <xm:f>'Funding Tables'!$P$3:$P$85</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7" tint="0.79998168889431442"/>
    <pageSetUpPr fitToPage="1"/>
  </sheetPr>
  <dimension ref="A1:M43"/>
  <sheetViews>
    <sheetView zoomScale="110" zoomScaleNormal="110" workbookViewId="0">
      <pane xSplit="1" ySplit="5" topLeftCell="B21" activePane="bottomRight" state="frozen"/>
      <selection pane="topRight" activeCell="B1" sqref="B1"/>
      <selection pane="bottomLeft" activeCell="A6" sqref="A6"/>
      <selection pane="bottomRight" activeCell="A40" sqref="A40"/>
    </sheetView>
  </sheetViews>
  <sheetFormatPr baseColWidth="10" defaultColWidth="8.7109375" defaultRowHeight="15"/>
  <cols>
    <col min="1" max="1" width="26.140625" customWidth="1"/>
    <col min="2" max="2" width="13" customWidth="1"/>
    <col min="3" max="3" width="30.85546875" style="27" customWidth="1"/>
    <col min="4" max="4" width="20.85546875" style="27" customWidth="1"/>
    <col min="5" max="5" width="32" style="27" customWidth="1"/>
    <col min="6" max="6" width="26.28515625" style="27" customWidth="1"/>
    <col min="7" max="7" width="28.28515625" style="27" customWidth="1"/>
    <col min="8" max="8" width="46.7109375" style="27" customWidth="1"/>
    <col min="9" max="9" width="41.140625" style="27" customWidth="1"/>
    <col min="10" max="10" width="33.140625" style="27" customWidth="1"/>
    <col min="11" max="11" width="10.42578125" style="27" bestFit="1" customWidth="1"/>
    <col min="14" max="14" width="29.42578125" customWidth="1"/>
    <col min="23" max="23" width="32.85546875" customWidth="1"/>
  </cols>
  <sheetData>
    <row r="1" spans="1:13" ht="15.75">
      <c r="A1" s="60" t="s">
        <v>126</v>
      </c>
    </row>
    <row r="2" spans="1:13" s="26" customFormat="1" ht="90">
      <c r="A2" s="79" t="s">
        <v>91</v>
      </c>
      <c r="B2" s="28"/>
      <c r="C2" s="29" t="s">
        <v>92</v>
      </c>
      <c r="D2" s="30" t="s">
        <v>90</v>
      </c>
      <c r="E2" s="30" t="s">
        <v>90</v>
      </c>
      <c r="F2" s="30" t="s">
        <v>90</v>
      </c>
      <c r="G2" s="30" t="s">
        <v>90</v>
      </c>
      <c r="H2" s="30" t="s">
        <v>90</v>
      </c>
      <c r="I2" s="30" t="s">
        <v>90</v>
      </c>
      <c r="J2" s="30" t="s">
        <v>89</v>
      </c>
    </row>
    <row r="3" spans="1:13" ht="15.75" thickBot="1">
      <c r="K3"/>
    </row>
    <row r="4" spans="1:13" ht="15.75" thickBot="1">
      <c r="A4" s="35" t="s">
        <v>93</v>
      </c>
      <c r="B4" s="36"/>
      <c r="C4" s="37"/>
      <c r="D4" s="38" t="s">
        <v>94</v>
      </c>
      <c r="E4" s="39"/>
      <c r="F4" s="39"/>
      <c r="G4" s="39"/>
      <c r="H4" s="39"/>
      <c r="I4" s="39"/>
      <c r="J4" s="39"/>
      <c r="K4"/>
    </row>
    <row r="5" spans="1:13" s="31" customFormat="1" ht="30.75" thickBot="1">
      <c r="A5" s="40" t="s">
        <v>95</v>
      </c>
      <c r="B5" s="41" t="s">
        <v>96</v>
      </c>
      <c r="C5" s="41" t="s">
        <v>97</v>
      </c>
      <c r="D5" s="88" t="s">
        <v>132</v>
      </c>
      <c r="E5" s="61" t="s">
        <v>133</v>
      </c>
      <c r="F5" s="61" t="s">
        <v>134</v>
      </c>
      <c r="G5" s="61" t="s">
        <v>135</v>
      </c>
      <c r="H5" s="61" t="s">
        <v>136</v>
      </c>
      <c r="I5" s="61" t="s">
        <v>142</v>
      </c>
      <c r="J5" s="61" t="s">
        <v>99</v>
      </c>
      <c r="K5" s="76" t="s">
        <v>98</v>
      </c>
      <c r="L5" s="131" t="s">
        <v>562</v>
      </c>
      <c r="M5" s="131" t="s">
        <v>563</v>
      </c>
    </row>
    <row r="6" spans="1:13">
      <c r="A6" t="s">
        <v>62</v>
      </c>
      <c r="B6" t="s">
        <v>63</v>
      </c>
      <c r="C6" s="27" t="s">
        <v>258</v>
      </c>
      <c r="D6" s="27" t="s">
        <v>255</v>
      </c>
      <c r="E6" s="27" t="s">
        <v>255</v>
      </c>
      <c r="F6" s="27" t="s">
        <v>255</v>
      </c>
      <c r="G6" s="27" t="s">
        <v>255</v>
      </c>
      <c r="H6" s="27" t="s">
        <v>255</v>
      </c>
      <c r="I6" s="27" t="s">
        <v>257</v>
      </c>
      <c r="J6" s="27">
        <v>7</v>
      </c>
      <c r="K6" s="27">
        <v>61</v>
      </c>
      <c r="L6" s="132"/>
      <c r="M6" s="132"/>
    </row>
    <row r="7" spans="1:13">
      <c r="A7" t="s">
        <v>64</v>
      </c>
      <c r="B7" t="s">
        <v>65</v>
      </c>
      <c r="C7" s="27" t="s">
        <v>258</v>
      </c>
      <c r="D7" s="27" t="s">
        <v>255</v>
      </c>
      <c r="E7" s="27" t="s">
        <v>255</v>
      </c>
      <c r="F7" s="27" t="s">
        <v>255</v>
      </c>
      <c r="G7" s="27" t="s">
        <v>255</v>
      </c>
      <c r="H7" s="27" t="s">
        <v>255</v>
      </c>
      <c r="I7" s="27" t="s">
        <v>257</v>
      </c>
      <c r="J7" s="27">
        <v>5</v>
      </c>
      <c r="K7" s="27">
        <v>61</v>
      </c>
      <c r="L7" s="132"/>
      <c r="M7" s="132"/>
    </row>
    <row r="8" spans="1:13">
      <c r="A8" t="s">
        <v>66</v>
      </c>
      <c r="B8" t="s">
        <v>67</v>
      </c>
      <c r="C8" s="27" t="s">
        <v>258</v>
      </c>
      <c r="D8" s="27" t="s">
        <v>255</v>
      </c>
      <c r="E8" s="27" t="s">
        <v>255</v>
      </c>
      <c r="F8" s="27" t="s">
        <v>255</v>
      </c>
      <c r="G8" s="27" t="s">
        <v>255</v>
      </c>
      <c r="H8" s="27" t="s">
        <v>255</v>
      </c>
      <c r="I8" s="27" t="s">
        <v>257</v>
      </c>
      <c r="J8" s="27">
        <v>18</v>
      </c>
      <c r="K8" s="27">
        <v>61</v>
      </c>
      <c r="L8" s="132"/>
      <c r="M8" s="132"/>
    </row>
    <row r="9" spans="1:13">
      <c r="A9" t="s">
        <v>68</v>
      </c>
      <c r="B9" t="s">
        <v>69</v>
      </c>
      <c r="C9" s="27" t="s">
        <v>258</v>
      </c>
      <c r="D9" s="27" t="s">
        <v>255</v>
      </c>
      <c r="E9" s="27" t="s">
        <v>255</v>
      </c>
      <c r="F9" s="27" t="s">
        <v>255</v>
      </c>
      <c r="G9" s="27" t="s">
        <v>255</v>
      </c>
      <c r="H9" s="27" t="s">
        <v>255</v>
      </c>
      <c r="I9" s="27" t="s">
        <v>257</v>
      </c>
      <c r="J9" s="27">
        <v>12</v>
      </c>
      <c r="K9" s="27">
        <v>61</v>
      </c>
      <c r="L9" s="132"/>
      <c r="M9" s="132"/>
    </row>
    <row r="10" spans="1:13">
      <c r="A10" t="s">
        <v>70</v>
      </c>
      <c r="B10" t="s">
        <v>40</v>
      </c>
      <c r="C10" s="27" t="s">
        <v>258</v>
      </c>
      <c r="D10" s="27" t="s">
        <v>255</v>
      </c>
      <c r="E10" s="27" t="s">
        <v>255</v>
      </c>
      <c r="F10" s="27" t="s">
        <v>255</v>
      </c>
      <c r="G10" s="27" t="s">
        <v>255</v>
      </c>
      <c r="H10" s="27" t="s">
        <v>255</v>
      </c>
      <c r="I10" s="27" t="s">
        <v>257</v>
      </c>
      <c r="J10" s="27">
        <v>6</v>
      </c>
      <c r="K10" s="27">
        <v>61</v>
      </c>
      <c r="L10" s="132"/>
      <c r="M10" s="132"/>
    </row>
    <row r="11" spans="1:13">
      <c r="A11" t="s">
        <v>71</v>
      </c>
      <c r="B11" t="s">
        <v>72</v>
      </c>
      <c r="C11" s="27" t="s">
        <v>258</v>
      </c>
      <c r="D11" s="27" t="s">
        <v>255</v>
      </c>
      <c r="E11" s="27" t="s">
        <v>256</v>
      </c>
      <c r="F11" s="27" t="s">
        <v>255</v>
      </c>
      <c r="G11" s="27" t="s">
        <v>255</v>
      </c>
      <c r="H11" s="27" t="s">
        <v>255</v>
      </c>
      <c r="I11" s="27" t="s">
        <v>257</v>
      </c>
      <c r="J11" s="27">
        <v>9</v>
      </c>
      <c r="K11" s="27">
        <v>61</v>
      </c>
      <c r="L11" s="132"/>
      <c r="M11" s="132"/>
    </row>
    <row r="12" spans="1:13">
      <c r="A12" t="s">
        <v>45</v>
      </c>
      <c r="B12" t="s">
        <v>46</v>
      </c>
      <c r="C12" s="27" t="s">
        <v>259</v>
      </c>
      <c r="D12" s="27" t="s">
        <v>255</v>
      </c>
      <c r="E12" s="27" t="s">
        <v>255</v>
      </c>
      <c r="F12" s="27" t="s">
        <v>255</v>
      </c>
      <c r="G12" s="27" t="s">
        <v>255</v>
      </c>
      <c r="H12" s="27" t="s">
        <v>255</v>
      </c>
      <c r="I12" s="27" t="s">
        <v>257</v>
      </c>
      <c r="J12" s="27">
        <v>21</v>
      </c>
      <c r="K12" s="27">
        <v>61</v>
      </c>
      <c r="L12" s="132"/>
      <c r="M12" s="132"/>
    </row>
    <row r="13" spans="1:13">
      <c r="A13" t="s">
        <v>51</v>
      </c>
      <c r="B13" t="s">
        <v>52</v>
      </c>
      <c r="C13" s="27" t="s">
        <v>259</v>
      </c>
      <c r="D13" s="27" t="s">
        <v>255</v>
      </c>
      <c r="E13" s="27" t="s">
        <v>255</v>
      </c>
      <c r="F13" s="27" t="s">
        <v>255</v>
      </c>
      <c r="G13" s="27" t="s">
        <v>255</v>
      </c>
      <c r="H13" s="27" t="s">
        <v>255</v>
      </c>
      <c r="I13" s="27" t="s">
        <v>257</v>
      </c>
      <c r="J13" s="27">
        <v>7</v>
      </c>
      <c r="K13" s="27">
        <v>61</v>
      </c>
      <c r="L13" s="132"/>
      <c r="M13" s="132"/>
    </row>
    <row r="14" spans="1:13">
      <c r="A14" t="s">
        <v>238</v>
      </c>
      <c r="B14" t="s">
        <v>38</v>
      </c>
      <c r="C14" s="27" t="s">
        <v>259</v>
      </c>
      <c r="D14" s="27" t="s">
        <v>255</v>
      </c>
      <c r="E14" s="27" t="s">
        <v>255</v>
      </c>
      <c r="F14" s="27" t="s">
        <v>255</v>
      </c>
      <c r="G14" s="27" t="s">
        <v>255</v>
      </c>
      <c r="H14" s="27" t="s">
        <v>255</v>
      </c>
      <c r="I14" s="27" t="s">
        <v>257</v>
      </c>
      <c r="J14" s="27">
        <v>13</v>
      </c>
      <c r="K14" s="27">
        <v>61</v>
      </c>
      <c r="L14" s="132"/>
      <c r="M14" s="132"/>
    </row>
    <row r="15" spans="1:13">
      <c r="A15" t="s">
        <v>239</v>
      </c>
      <c r="B15" t="s">
        <v>53</v>
      </c>
      <c r="C15" s="27" t="s">
        <v>259</v>
      </c>
      <c r="D15" s="27" t="s">
        <v>255</v>
      </c>
      <c r="E15" s="27" t="s">
        <v>255</v>
      </c>
      <c r="F15" s="27" t="s">
        <v>255</v>
      </c>
      <c r="G15" s="27" t="s">
        <v>255</v>
      </c>
      <c r="H15" s="27" t="s">
        <v>255</v>
      </c>
      <c r="I15" s="27" t="s">
        <v>257</v>
      </c>
      <c r="J15" s="27">
        <v>21</v>
      </c>
      <c r="K15" s="27">
        <v>61</v>
      </c>
      <c r="L15" s="132"/>
      <c r="M15" s="132"/>
    </row>
    <row r="16" spans="1:13">
      <c r="A16" t="s">
        <v>240</v>
      </c>
      <c r="B16" t="s">
        <v>73</v>
      </c>
      <c r="C16" s="27" t="s">
        <v>258</v>
      </c>
      <c r="D16" s="27" t="s">
        <v>255</v>
      </c>
      <c r="E16" s="27" t="s">
        <v>255</v>
      </c>
      <c r="F16" s="27" t="s">
        <v>255</v>
      </c>
      <c r="G16" s="27" t="s">
        <v>255</v>
      </c>
      <c r="H16" s="27" t="s">
        <v>255</v>
      </c>
      <c r="I16" s="27" t="s">
        <v>257</v>
      </c>
      <c r="J16" s="27">
        <v>6</v>
      </c>
      <c r="K16" s="27">
        <v>61</v>
      </c>
      <c r="L16" s="132"/>
      <c r="M16" s="132"/>
    </row>
    <row r="17" spans="1:13">
      <c r="A17" t="s">
        <v>241</v>
      </c>
      <c r="B17" t="s">
        <v>54</v>
      </c>
      <c r="C17" s="27" t="s">
        <v>259</v>
      </c>
      <c r="D17" s="27" t="s">
        <v>255</v>
      </c>
      <c r="E17" s="27" t="s">
        <v>256</v>
      </c>
      <c r="F17" s="27" t="s">
        <v>256</v>
      </c>
      <c r="G17" s="27" t="s">
        <v>255</v>
      </c>
      <c r="H17" s="27" t="s">
        <v>255</v>
      </c>
      <c r="I17" s="27" t="s">
        <v>257</v>
      </c>
      <c r="J17" s="27">
        <v>17</v>
      </c>
      <c r="K17" s="27">
        <v>61</v>
      </c>
      <c r="L17" s="132"/>
      <c r="M17" s="132"/>
    </row>
    <row r="18" spans="1:13">
      <c r="A18" t="s">
        <v>242</v>
      </c>
      <c r="B18" t="s">
        <v>74</v>
      </c>
      <c r="C18" s="27" t="s">
        <v>258</v>
      </c>
      <c r="D18" s="27" t="s">
        <v>255</v>
      </c>
      <c r="E18" s="27" t="s">
        <v>255</v>
      </c>
      <c r="F18" s="27" t="s">
        <v>255</v>
      </c>
      <c r="G18" s="27" t="s">
        <v>255</v>
      </c>
      <c r="H18" s="27" t="s">
        <v>255</v>
      </c>
      <c r="I18" s="27" t="s">
        <v>257</v>
      </c>
      <c r="J18" s="27">
        <v>8</v>
      </c>
      <c r="K18" s="27">
        <v>61</v>
      </c>
      <c r="L18" s="132"/>
      <c r="M18" s="132"/>
    </row>
    <row r="19" spans="1:13">
      <c r="A19" t="s">
        <v>243</v>
      </c>
      <c r="B19" t="s">
        <v>75</v>
      </c>
      <c r="C19" s="27" t="s">
        <v>258</v>
      </c>
      <c r="D19" s="27" t="s">
        <v>255</v>
      </c>
      <c r="E19" s="27" t="s">
        <v>255</v>
      </c>
      <c r="F19" s="27" t="s">
        <v>255</v>
      </c>
      <c r="G19" s="27" t="s">
        <v>255</v>
      </c>
      <c r="H19" s="27" t="s">
        <v>255</v>
      </c>
      <c r="I19" s="27" t="s">
        <v>257</v>
      </c>
      <c r="J19" s="27">
        <v>3</v>
      </c>
      <c r="K19" s="27">
        <v>61</v>
      </c>
      <c r="L19" s="132"/>
      <c r="M19" s="132"/>
    </row>
    <row r="20" spans="1:13">
      <c r="A20" t="s">
        <v>244</v>
      </c>
      <c r="B20" t="s">
        <v>47</v>
      </c>
      <c r="C20" s="27" t="s">
        <v>260</v>
      </c>
      <c r="D20" s="27" t="s">
        <v>255</v>
      </c>
      <c r="E20" s="27" t="s">
        <v>255</v>
      </c>
      <c r="F20" s="27" t="s">
        <v>255</v>
      </c>
      <c r="G20" s="27" t="s">
        <v>255</v>
      </c>
      <c r="H20" s="27" t="s">
        <v>255</v>
      </c>
      <c r="I20" s="27" t="s">
        <v>257</v>
      </c>
      <c r="J20" s="27">
        <v>12</v>
      </c>
      <c r="K20" s="27">
        <v>61</v>
      </c>
      <c r="L20" s="132"/>
      <c r="M20" s="132"/>
    </row>
    <row r="21" spans="1:13">
      <c r="A21" t="s">
        <v>245</v>
      </c>
      <c r="B21" t="s">
        <v>76</v>
      </c>
      <c r="C21" s="27" t="s">
        <v>258</v>
      </c>
      <c r="D21" s="27" t="s">
        <v>255</v>
      </c>
      <c r="E21" s="27" t="s">
        <v>255</v>
      </c>
      <c r="F21" s="27" t="s">
        <v>255</v>
      </c>
      <c r="G21" s="27" t="s">
        <v>255</v>
      </c>
      <c r="H21" s="27" t="s">
        <v>255</v>
      </c>
      <c r="I21" s="27" t="s">
        <v>257</v>
      </c>
      <c r="J21" s="27">
        <v>31</v>
      </c>
      <c r="K21" s="27">
        <v>61</v>
      </c>
      <c r="L21" s="132"/>
      <c r="M21" s="132"/>
    </row>
    <row r="22" spans="1:13">
      <c r="A22" t="s">
        <v>246</v>
      </c>
      <c r="B22" t="s">
        <v>48</v>
      </c>
      <c r="C22" s="27" t="s">
        <v>260</v>
      </c>
      <c r="D22" s="27" t="s">
        <v>255</v>
      </c>
      <c r="E22" s="27" t="s">
        <v>256</v>
      </c>
      <c r="F22" s="27" t="s">
        <v>255</v>
      </c>
      <c r="G22" s="27" t="s">
        <v>255</v>
      </c>
      <c r="H22" s="27" t="s">
        <v>255</v>
      </c>
      <c r="I22" s="27" t="s">
        <v>257</v>
      </c>
      <c r="J22" s="27">
        <v>26</v>
      </c>
      <c r="K22" s="27">
        <v>61</v>
      </c>
      <c r="L22" s="132"/>
      <c r="M22" s="132"/>
    </row>
    <row r="23" spans="1:13">
      <c r="A23" t="s">
        <v>247</v>
      </c>
      <c r="B23" t="s">
        <v>55</v>
      </c>
      <c r="C23" s="27" t="s">
        <v>259</v>
      </c>
      <c r="D23" s="27" t="s">
        <v>255</v>
      </c>
      <c r="E23" s="27" t="s">
        <v>255</v>
      </c>
      <c r="F23" s="27" t="s">
        <v>255</v>
      </c>
      <c r="G23" s="27" t="s">
        <v>255</v>
      </c>
      <c r="H23" s="27" t="s">
        <v>255</v>
      </c>
      <c r="I23" s="27" t="s">
        <v>257</v>
      </c>
      <c r="J23" s="27">
        <v>11</v>
      </c>
      <c r="K23" s="27">
        <v>61</v>
      </c>
      <c r="L23" s="132"/>
      <c r="M23" s="132"/>
    </row>
    <row r="24" spans="1:13">
      <c r="A24" t="s">
        <v>49</v>
      </c>
      <c r="B24" t="s">
        <v>50</v>
      </c>
      <c r="C24" s="27" t="s">
        <v>260</v>
      </c>
      <c r="D24" s="27" t="s">
        <v>255</v>
      </c>
      <c r="E24" s="27" t="s">
        <v>255</v>
      </c>
      <c r="F24" s="27" t="s">
        <v>255</v>
      </c>
      <c r="G24" s="27" t="s">
        <v>255</v>
      </c>
      <c r="H24" s="27" t="s">
        <v>255</v>
      </c>
      <c r="I24" s="27" t="s">
        <v>257</v>
      </c>
      <c r="J24" s="27">
        <v>29</v>
      </c>
      <c r="K24" s="27">
        <v>61</v>
      </c>
      <c r="L24" s="132"/>
      <c r="M24" s="132"/>
    </row>
    <row r="25" spans="1:13">
      <c r="A25" t="s">
        <v>248</v>
      </c>
      <c r="B25" t="s">
        <v>42</v>
      </c>
      <c r="C25" s="27" t="s">
        <v>258</v>
      </c>
      <c r="D25" s="27" t="s">
        <v>255</v>
      </c>
      <c r="E25" s="27" t="s">
        <v>255</v>
      </c>
      <c r="F25" s="27" t="s">
        <v>255</v>
      </c>
      <c r="G25" s="27" t="s">
        <v>255</v>
      </c>
      <c r="H25" s="27" t="s">
        <v>255</v>
      </c>
      <c r="I25" s="27" t="s">
        <v>257</v>
      </c>
      <c r="J25" s="27">
        <v>18</v>
      </c>
      <c r="K25" s="27">
        <v>61</v>
      </c>
      <c r="L25" s="132"/>
      <c r="M25" s="132"/>
    </row>
    <row r="26" spans="1:13">
      <c r="A26" t="s">
        <v>249</v>
      </c>
      <c r="B26" t="s">
        <v>43</v>
      </c>
      <c r="C26" s="27" t="s">
        <v>260</v>
      </c>
      <c r="D26" s="27" t="s">
        <v>255</v>
      </c>
      <c r="E26" s="27" t="s">
        <v>257</v>
      </c>
      <c r="F26" s="27" t="s">
        <v>257</v>
      </c>
      <c r="G26" s="27" t="s">
        <v>257</v>
      </c>
      <c r="H26" s="27" t="s">
        <v>255</v>
      </c>
      <c r="I26" s="27" t="s">
        <v>257</v>
      </c>
      <c r="J26" s="27">
        <v>26</v>
      </c>
      <c r="K26" s="27">
        <v>61</v>
      </c>
      <c r="L26" s="132"/>
      <c r="M26" s="132"/>
    </row>
    <row r="27" spans="1:13">
      <c r="A27" t="s">
        <v>250</v>
      </c>
      <c r="B27" t="s">
        <v>56</v>
      </c>
      <c r="C27" s="27" t="s">
        <v>259</v>
      </c>
      <c r="D27" s="27" t="s">
        <v>255</v>
      </c>
      <c r="E27" s="27" t="s">
        <v>255</v>
      </c>
      <c r="F27" s="27" t="s">
        <v>255</v>
      </c>
      <c r="G27" s="27" t="s">
        <v>255</v>
      </c>
      <c r="H27" s="27" t="s">
        <v>255</v>
      </c>
      <c r="I27" s="27" t="s">
        <v>257</v>
      </c>
      <c r="J27" s="27">
        <v>10</v>
      </c>
      <c r="K27" s="27">
        <v>61</v>
      </c>
      <c r="L27" s="132"/>
      <c r="M27" s="132"/>
    </row>
    <row r="28" spans="1:13">
      <c r="A28" t="s">
        <v>251</v>
      </c>
      <c r="B28" t="s">
        <v>57</v>
      </c>
      <c r="C28" s="27" t="s">
        <v>259</v>
      </c>
      <c r="D28" s="27" t="s">
        <v>255</v>
      </c>
      <c r="E28" s="27" t="s">
        <v>255</v>
      </c>
      <c r="F28" s="27" t="s">
        <v>255</v>
      </c>
      <c r="G28" s="27" t="s">
        <v>255</v>
      </c>
      <c r="H28" s="27" t="s">
        <v>255</v>
      </c>
      <c r="I28" s="27" t="s">
        <v>257</v>
      </c>
      <c r="J28" s="27">
        <f>16+10</f>
        <v>26</v>
      </c>
      <c r="K28" s="27">
        <v>61</v>
      </c>
      <c r="L28" s="132"/>
      <c r="M28" s="132"/>
    </row>
    <row r="29" spans="1:13">
      <c r="A29" t="s">
        <v>77</v>
      </c>
      <c r="B29" t="s">
        <v>39</v>
      </c>
      <c r="C29" s="27" t="s">
        <v>258</v>
      </c>
      <c r="D29" s="27" t="s">
        <v>255</v>
      </c>
      <c r="E29" s="27" t="s">
        <v>255</v>
      </c>
      <c r="F29" s="27" t="s">
        <v>255</v>
      </c>
      <c r="G29" s="27" t="s">
        <v>255</v>
      </c>
      <c r="H29" s="27" t="s">
        <v>255</v>
      </c>
      <c r="I29" s="27" t="s">
        <v>257</v>
      </c>
      <c r="J29" s="27">
        <v>1</v>
      </c>
      <c r="K29" s="27">
        <v>61</v>
      </c>
      <c r="L29" s="132"/>
      <c r="M29" s="132"/>
    </row>
    <row r="30" spans="1:13">
      <c r="A30" t="s">
        <v>252</v>
      </c>
      <c r="B30" t="s">
        <v>58</v>
      </c>
      <c r="C30" s="27" t="s">
        <v>259</v>
      </c>
      <c r="D30" s="27" t="s">
        <v>255</v>
      </c>
      <c r="E30" s="27" t="s">
        <v>255</v>
      </c>
      <c r="F30" s="27" t="s">
        <v>255</v>
      </c>
      <c r="G30" s="27" t="s">
        <v>255</v>
      </c>
      <c r="H30" s="27" t="s">
        <v>255</v>
      </c>
      <c r="I30" s="27" t="s">
        <v>257</v>
      </c>
      <c r="J30" s="27">
        <v>12</v>
      </c>
      <c r="K30" s="27">
        <v>61</v>
      </c>
      <c r="L30" s="132"/>
      <c r="M30" s="132"/>
    </row>
    <row r="31" spans="1:13">
      <c r="A31" t="s">
        <v>253</v>
      </c>
      <c r="B31" t="s">
        <v>59</v>
      </c>
      <c r="C31" s="27" t="s">
        <v>258</v>
      </c>
      <c r="D31" s="27" t="s">
        <v>255</v>
      </c>
      <c r="E31" s="27" t="s">
        <v>255</v>
      </c>
      <c r="F31" s="27" t="s">
        <v>255</v>
      </c>
      <c r="G31" s="27" t="s">
        <v>255</v>
      </c>
      <c r="H31" s="27" t="s">
        <v>255</v>
      </c>
      <c r="I31" s="27" t="s">
        <v>257</v>
      </c>
      <c r="J31" s="27">
        <v>20</v>
      </c>
      <c r="K31" s="27">
        <v>61</v>
      </c>
      <c r="L31" s="132"/>
      <c r="M31" s="132"/>
    </row>
    <row r="32" spans="1:13">
      <c r="A32" t="s">
        <v>254</v>
      </c>
      <c r="B32" t="s">
        <v>44</v>
      </c>
      <c r="C32" s="27" t="s">
        <v>260</v>
      </c>
      <c r="D32" s="27" t="s">
        <v>255</v>
      </c>
      <c r="E32" s="27" t="s">
        <v>257</v>
      </c>
      <c r="F32" s="27" t="s">
        <v>257</v>
      </c>
      <c r="G32" s="27" t="s">
        <v>257</v>
      </c>
      <c r="H32" s="27" t="s">
        <v>255</v>
      </c>
      <c r="I32" s="27" t="s">
        <v>257</v>
      </c>
      <c r="J32" s="27">
        <v>19</v>
      </c>
      <c r="K32" s="27">
        <v>61</v>
      </c>
      <c r="L32" s="132"/>
      <c r="M32" s="132"/>
    </row>
    <row r="33" spans="1:13">
      <c r="A33" t="s">
        <v>78</v>
      </c>
      <c r="B33" t="s">
        <v>41</v>
      </c>
      <c r="C33" s="27" t="s">
        <v>258</v>
      </c>
      <c r="D33" s="27" t="s">
        <v>255</v>
      </c>
      <c r="E33" s="27" t="s">
        <v>255</v>
      </c>
      <c r="F33" s="27" t="s">
        <v>255</v>
      </c>
      <c r="G33" s="27" t="s">
        <v>255</v>
      </c>
      <c r="H33" s="27" t="s">
        <v>255</v>
      </c>
      <c r="I33" s="27" t="s">
        <v>257</v>
      </c>
      <c r="J33" s="27">
        <v>3</v>
      </c>
      <c r="K33" s="27">
        <v>61</v>
      </c>
      <c r="L33" s="132"/>
      <c r="M33" s="132"/>
    </row>
    <row r="34" spans="1:13">
      <c r="A34" t="s">
        <v>60</v>
      </c>
      <c r="B34" t="s">
        <v>61</v>
      </c>
      <c r="C34" s="27" t="s">
        <v>258</v>
      </c>
      <c r="D34" s="27" t="s">
        <v>255</v>
      </c>
      <c r="E34" s="27" t="s">
        <v>255</v>
      </c>
      <c r="F34" s="27" t="s">
        <v>255</v>
      </c>
      <c r="G34" s="27" t="s">
        <v>255</v>
      </c>
      <c r="H34" s="27" t="s">
        <v>255</v>
      </c>
      <c r="I34" s="27" t="s">
        <v>257</v>
      </c>
      <c r="J34" s="27">
        <v>20</v>
      </c>
      <c r="K34" s="27">
        <v>61</v>
      </c>
      <c r="L34" s="132"/>
      <c r="M34" s="132"/>
    </row>
    <row r="35" spans="1:13">
      <c r="A35" t="s">
        <v>79</v>
      </c>
      <c r="B35" t="s">
        <v>80</v>
      </c>
      <c r="C35" s="27" t="s">
        <v>259</v>
      </c>
      <c r="D35" s="27" t="s">
        <v>255</v>
      </c>
      <c r="E35" s="27" t="s">
        <v>255</v>
      </c>
      <c r="F35" s="27" t="s">
        <v>255</v>
      </c>
      <c r="G35" s="27" t="s">
        <v>255</v>
      </c>
      <c r="H35" s="27" t="s">
        <v>255</v>
      </c>
      <c r="I35" s="27" t="s">
        <v>257</v>
      </c>
      <c r="J35" s="27">
        <v>51</v>
      </c>
      <c r="K35" s="27">
        <v>61</v>
      </c>
      <c r="L35" s="132"/>
      <c r="M35" s="132"/>
    </row>
    <row r="36" spans="1:13">
      <c r="A36" t="s">
        <v>81</v>
      </c>
      <c r="B36" t="s">
        <v>82</v>
      </c>
      <c r="C36" s="27" t="s">
        <v>258</v>
      </c>
      <c r="D36" s="27" t="s">
        <v>255</v>
      </c>
      <c r="E36" s="27" t="s">
        <v>255</v>
      </c>
      <c r="F36" s="27" t="s">
        <v>255</v>
      </c>
      <c r="G36" s="27" t="s">
        <v>255</v>
      </c>
      <c r="H36" s="27" t="s">
        <v>255</v>
      </c>
      <c r="I36" s="27" t="s">
        <v>255</v>
      </c>
      <c r="J36" s="27">
        <v>6</v>
      </c>
      <c r="K36" s="27">
        <v>61</v>
      </c>
      <c r="L36" s="132"/>
      <c r="M36" s="132"/>
    </row>
    <row r="37" spans="1:13">
      <c r="A37" t="s">
        <v>83</v>
      </c>
      <c r="B37" t="s">
        <v>84</v>
      </c>
      <c r="C37" s="27" t="s">
        <v>258</v>
      </c>
      <c r="D37" s="27" t="s">
        <v>255</v>
      </c>
      <c r="E37" s="27" t="s">
        <v>255</v>
      </c>
      <c r="F37" s="27" t="s">
        <v>255</v>
      </c>
      <c r="G37" s="27" t="s">
        <v>255</v>
      </c>
      <c r="H37" s="27" t="s">
        <v>255</v>
      </c>
      <c r="I37" s="27" t="s">
        <v>257</v>
      </c>
      <c r="J37" s="27">
        <v>0</v>
      </c>
      <c r="K37" s="27">
        <v>61</v>
      </c>
      <c r="L37" s="132"/>
      <c r="M37" s="132"/>
    </row>
    <row r="38" spans="1:13">
      <c r="A38" t="s">
        <v>85</v>
      </c>
      <c r="B38" t="s">
        <v>86</v>
      </c>
      <c r="C38" s="27" t="s">
        <v>258</v>
      </c>
      <c r="D38" s="27" t="s">
        <v>255</v>
      </c>
      <c r="E38" s="27" t="s">
        <v>255</v>
      </c>
      <c r="F38" s="27" t="s">
        <v>255</v>
      </c>
      <c r="G38" s="27" t="s">
        <v>255</v>
      </c>
      <c r="H38" s="27" t="s">
        <v>255</v>
      </c>
      <c r="I38" s="27" t="s">
        <v>257</v>
      </c>
      <c r="J38" s="27">
        <v>9</v>
      </c>
      <c r="K38" s="27">
        <v>61</v>
      </c>
      <c r="L38" s="132"/>
      <c r="M38" s="132"/>
    </row>
    <row r="39" spans="1:13">
      <c r="A39" t="s">
        <v>87</v>
      </c>
      <c r="B39" t="s">
        <v>88</v>
      </c>
      <c r="C39" s="27" t="s">
        <v>258</v>
      </c>
      <c r="D39" s="27" t="s">
        <v>255</v>
      </c>
      <c r="E39" s="27" t="s">
        <v>255</v>
      </c>
      <c r="F39" s="27" t="s">
        <v>255</v>
      </c>
      <c r="G39" s="27" t="s">
        <v>255</v>
      </c>
      <c r="H39" s="27" t="s">
        <v>255</v>
      </c>
      <c r="I39" s="27" t="s">
        <v>257</v>
      </c>
      <c r="J39" s="27">
        <v>0</v>
      </c>
      <c r="K39" s="27">
        <v>61</v>
      </c>
      <c r="L39" s="132"/>
      <c r="M39" s="132"/>
    </row>
    <row r="40" spans="1:13">
      <c r="L40" s="132"/>
      <c r="M40" s="132"/>
    </row>
    <row r="41" spans="1:13">
      <c r="L41" s="132"/>
      <c r="M41" s="132"/>
    </row>
    <row r="42" spans="1:13">
      <c r="L42" s="132"/>
      <c r="M42" s="132"/>
    </row>
    <row r="43" spans="1:13">
      <c r="J43" s="27">
        <f>+Table1[[#Totals],[Colonne1]]+Table1[[#Totals],[Colonne2]]</f>
        <v>0</v>
      </c>
      <c r="L43" s="132"/>
      <c r="M43" s="132"/>
    </row>
  </sheetData>
  <phoneticPr fontId="20" type="noConversion"/>
  <dataValidations count="1">
    <dataValidation type="list" allowBlank="1" showInputMessage="1" showErrorMessage="1" sqref="D6:I42" xr:uid="{310277DC-CD9F-4A53-90DA-4A4FC374E3ED}">
      <formula1>"Oui, Non, SO"</formula1>
    </dataValidation>
  </dataValidations>
  <pageMargins left="0.7" right="0.7" top="0.75" bottom="0.75" header="0.3" footer="0.3"/>
  <pageSetup scale="29"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Tables'!$AE$3:$AE$5</xm:f>
          </x14:formula1>
          <xm:sqref>C6:C42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38A6-B398-421D-B707-7349DD56FC0C}">
  <sheetPr>
    <tabColor theme="7" tint="0.79998168889431442"/>
  </sheetPr>
  <dimension ref="A1:M61"/>
  <sheetViews>
    <sheetView workbookViewId="0"/>
  </sheetViews>
  <sheetFormatPr baseColWidth="10" defaultRowHeight="15"/>
  <cols>
    <col min="1" max="1" width="25.5703125" bestFit="1" customWidth="1"/>
    <col min="2" max="2" width="8.5703125" bestFit="1" customWidth="1"/>
    <col min="3" max="3" width="60.85546875" bestFit="1" customWidth="1"/>
    <col min="4" max="4" width="36.140625" customWidth="1"/>
    <col min="8" max="8" width="21.85546875" customWidth="1"/>
    <col min="9" max="9" width="19.5703125" customWidth="1"/>
  </cols>
  <sheetData>
    <row r="1" spans="1:13">
      <c r="D1" s="115"/>
      <c r="H1" s="115"/>
    </row>
    <row r="2" spans="1:13">
      <c r="D2" s="115"/>
      <c r="H2" s="115"/>
    </row>
    <row r="3" spans="1:13">
      <c r="D3" s="115"/>
      <c r="H3" s="115"/>
    </row>
    <row r="4" spans="1:13" ht="15.75" thickBot="1">
      <c r="D4" s="115"/>
      <c r="H4" s="115"/>
    </row>
    <row r="5" spans="1:13" ht="165">
      <c r="A5" s="116" t="s">
        <v>95</v>
      </c>
      <c r="B5" s="117" t="s">
        <v>96</v>
      </c>
      <c r="C5" s="117" t="s">
        <v>97</v>
      </c>
      <c r="D5" s="118" t="s">
        <v>568</v>
      </c>
      <c r="E5" s="76" t="s">
        <v>569</v>
      </c>
      <c r="F5" s="76" t="s">
        <v>570</v>
      </c>
      <c r="G5" s="119" t="s">
        <v>571</v>
      </c>
      <c r="H5" s="118" t="s">
        <v>572</v>
      </c>
      <c r="I5" s="76" t="s">
        <v>573</v>
      </c>
      <c r="J5" s="76" t="s">
        <v>570</v>
      </c>
      <c r="K5" s="119" t="s">
        <v>574</v>
      </c>
      <c r="L5" s="76" t="s">
        <v>575</v>
      </c>
      <c r="M5" s="76"/>
    </row>
    <row r="6" spans="1:13">
      <c r="A6" s="120" t="s">
        <v>62</v>
      </c>
      <c r="B6" s="120" t="s">
        <v>63</v>
      </c>
      <c r="C6" s="114" t="s">
        <v>258</v>
      </c>
      <c r="D6" s="121" t="s">
        <v>576</v>
      </c>
      <c r="E6" s="122" t="s">
        <v>116</v>
      </c>
      <c r="F6" s="120" t="s">
        <v>577</v>
      </c>
      <c r="G6" s="123">
        <f>113992*1.024</f>
        <v>116727.808</v>
      </c>
      <c r="H6" s="120"/>
      <c r="I6" s="120"/>
      <c r="J6" s="120"/>
      <c r="K6" s="120"/>
      <c r="L6" s="124" t="s">
        <v>255</v>
      </c>
      <c r="M6" s="125"/>
    </row>
    <row r="7" spans="1:13">
      <c r="A7" s="120" t="s">
        <v>64</v>
      </c>
      <c r="B7" s="120" t="s">
        <v>65</v>
      </c>
      <c r="C7" s="114" t="s">
        <v>258</v>
      </c>
      <c r="D7" s="120"/>
      <c r="E7" s="120"/>
      <c r="F7" s="120"/>
      <c r="G7" s="123"/>
      <c r="H7" s="120"/>
      <c r="I7" s="120"/>
      <c r="J7" s="120"/>
      <c r="K7" s="120"/>
      <c r="L7" s="124" t="s">
        <v>255</v>
      </c>
      <c r="M7" s="125"/>
    </row>
    <row r="8" spans="1:13">
      <c r="A8" s="120" t="s">
        <v>66</v>
      </c>
      <c r="B8" s="120" t="s">
        <v>67</v>
      </c>
      <c r="C8" s="114" t="s">
        <v>258</v>
      </c>
      <c r="D8" s="121" t="s">
        <v>578</v>
      </c>
      <c r="E8" s="122" t="s">
        <v>116</v>
      </c>
      <c r="F8" s="120" t="s">
        <v>579</v>
      </c>
      <c r="G8" s="123">
        <v>130000</v>
      </c>
      <c r="H8" s="120"/>
      <c r="I8" s="120"/>
      <c r="J8" s="120"/>
      <c r="K8" s="120"/>
      <c r="L8" s="124" t="s">
        <v>255</v>
      </c>
      <c r="M8" s="125"/>
    </row>
    <row r="9" spans="1:13">
      <c r="A9" s="120" t="s">
        <v>68</v>
      </c>
      <c r="B9" s="120" t="s">
        <v>69</v>
      </c>
      <c r="C9" s="114" t="s">
        <v>258</v>
      </c>
      <c r="D9" s="120"/>
      <c r="E9" s="120"/>
      <c r="F9" s="120"/>
      <c r="G9" s="123"/>
      <c r="H9" s="120"/>
      <c r="I9" s="120"/>
      <c r="J9" s="120"/>
      <c r="K9" s="120"/>
      <c r="L9" s="124" t="s">
        <v>255</v>
      </c>
      <c r="M9" s="125"/>
    </row>
    <row r="10" spans="1:13">
      <c r="A10" s="120" t="s">
        <v>70</v>
      </c>
      <c r="B10" s="120" t="s">
        <v>40</v>
      </c>
      <c r="C10" s="114" t="s">
        <v>258</v>
      </c>
      <c r="D10" s="120"/>
      <c r="E10" s="120"/>
      <c r="F10" s="120"/>
      <c r="G10" s="123"/>
      <c r="H10" s="120"/>
      <c r="I10" s="120"/>
      <c r="J10" s="120"/>
      <c r="K10" s="120"/>
      <c r="L10" s="124" t="s">
        <v>255</v>
      </c>
      <c r="M10" s="125"/>
    </row>
    <row r="11" spans="1:13">
      <c r="A11" s="120" t="s">
        <v>71</v>
      </c>
      <c r="B11" s="120" t="s">
        <v>72</v>
      </c>
      <c r="C11" s="114" t="s">
        <v>258</v>
      </c>
      <c r="D11" s="120"/>
      <c r="E11" s="120"/>
      <c r="F11" s="120"/>
      <c r="G11" s="123"/>
      <c r="H11" s="120"/>
      <c r="I11" s="120"/>
      <c r="J11" s="120"/>
      <c r="K11" s="120"/>
      <c r="L11" s="124" t="s">
        <v>255</v>
      </c>
      <c r="M11" s="125"/>
    </row>
    <row r="12" spans="1:13">
      <c r="A12" s="120" t="s">
        <v>45</v>
      </c>
      <c r="B12" s="120" t="s">
        <v>46</v>
      </c>
      <c r="C12" s="114" t="s">
        <v>259</v>
      </c>
      <c r="D12" s="120"/>
      <c r="E12" s="120"/>
      <c r="F12" s="120"/>
      <c r="G12" s="123"/>
      <c r="H12" s="120"/>
      <c r="I12" s="120"/>
      <c r="J12" s="120"/>
      <c r="K12" s="120"/>
      <c r="L12" s="124" t="s">
        <v>255</v>
      </c>
      <c r="M12" s="125"/>
    </row>
    <row r="13" spans="1:13">
      <c r="A13" s="120" t="s">
        <v>51</v>
      </c>
      <c r="B13" s="120" t="s">
        <v>52</v>
      </c>
      <c r="C13" s="114" t="s">
        <v>259</v>
      </c>
      <c r="D13" s="115"/>
      <c r="H13" s="126" t="s">
        <v>580</v>
      </c>
      <c r="I13" s="120" t="s">
        <v>596</v>
      </c>
      <c r="J13" s="120" t="s">
        <v>566</v>
      </c>
      <c r="K13" s="123">
        <v>24000</v>
      </c>
      <c r="L13" s="124" t="s">
        <v>255</v>
      </c>
      <c r="M13" s="125"/>
    </row>
    <row r="14" spans="1:13">
      <c r="A14" s="120" t="s">
        <v>238</v>
      </c>
      <c r="B14" s="120" t="s">
        <v>38</v>
      </c>
      <c r="C14" s="114" t="s">
        <v>259</v>
      </c>
      <c r="D14" s="121" t="s">
        <v>581</v>
      </c>
      <c r="E14" s="122" t="s">
        <v>116</v>
      </c>
      <c r="F14" s="120" t="s">
        <v>582</v>
      </c>
      <c r="G14" s="123">
        <f>750*1.024</f>
        <v>768</v>
      </c>
      <c r="H14" s="120"/>
      <c r="I14" s="120"/>
      <c r="J14" s="120"/>
      <c r="K14" s="120"/>
      <c r="L14" s="124" t="s">
        <v>255</v>
      </c>
      <c r="M14" s="125"/>
    </row>
    <row r="15" spans="1:13">
      <c r="A15" s="120" t="s">
        <v>239</v>
      </c>
      <c r="B15" s="120" t="s">
        <v>53</v>
      </c>
      <c r="C15" s="114" t="s">
        <v>259</v>
      </c>
      <c r="D15" s="115"/>
      <c r="H15" s="126" t="s">
        <v>583</v>
      </c>
      <c r="I15" s="120" t="s">
        <v>596</v>
      </c>
      <c r="J15" s="120" t="s">
        <v>565</v>
      </c>
      <c r="K15" s="123">
        <v>180000</v>
      </c>
      <c r="L15" s="124" t="s">
        <v>255</v>
      </c>
      <c r="M15" s="125"/>
    </row>
    <row r="16" spans="1:13">
      <c r="A16" s="120" t="s">
        <v>240</v>
      </c>
      <c r="B16" s="120" t="s">
        <v>73</v>
      </c>
      <c r="C16" s="114" t="s">
        <v>258</v>
      </c>
      <c r="D16" s="120"/>
      <c r="E16" s="120"/>
      <c r="F16" s="120"/>
      <c r="G16" s="123"/>
      <c r="H16" s="120"/>
      <c r="I16" s="120"/>
      <c r="J16" s="120"/>
      <c r="K16" s="120"/>
      <c r="L16" s="124" t="s">
        <v>255</v>
      </c>
      <c r="M16" s="125"/>
    </row>
    <row r="17" spans="1:13">
      <c r="A17" s="120" t="s">
        <v>241</v>
      </c>
      <c r="B17" s="120" t="s">
        <v>54</v>
      </c>
      <c r="C17" s="114" t="s">
        <v>259</v>
      </c>
      <c r="D17" s="115"/>
      <c r="H17" s="126" t="s">
        <v>583</v>
      </c>
      <c r="I17" s="120" t="s">
        <v>596</v>
      </c>
      <c r="J17" s="120" t="s">
        <v>565</v>
      </c>
      <c r="K17" s="123">
        <v>180000</v>
      </c>
      <c r="L17" s="124" t="s">
        <v>255</v>
      </c>
      <c r="M17" s="125"/>
    </row>
    <row r="18" spans="1:13">
      <c r="A18" s="120" t="s">
        <v>242</v>
      </c>
      <c r="B18" s="120" t="s">
        <v>74</v>
      </c>
      <c r="C18" s="114" t="s">
        <v>258</v>
      </c>
      <c r="D18" s="120"/>
      <c r="E18" s="120"/>
      <c r="F18" s="120"/>
      <c r="G18" s="123"/>
      <c r="H18" s="120"/>
      <c r="I18" s="120"/>
      <c r="J18" s="120"/>
      <c r="K18" s="120"/>
      <c r="L18" s="124" t="s">
        <v>255</v>
      </c>
      <c r="M18" s="125"/>
    </row>
    <row r="19" spans="1:13">
      <c r="A19" s="120" t="s">
        <v>243</v>
      </c>
      <c r="B19" s="120" t="s">
        <v>75</v>
      </c>
      <c r="C19" s="114" t="s">
        <v>258</v>
      </c>
      <c r="D19" s="120"/>
      <c r="E19" s="120"/>
      <c r="F19" s="120"/>
      <c r="G19" s="123"/>
      <c r="H19" s="120"/>
      <c r="I19" s="120"/>
      <c r="J19" s="120"/>
      <c r="K19" s="120"/>
      <c r="L19" s="124" t="s">
        <v>255</v>
      </c>
      <c r="M19" s="125"/>
    </row>
    <row r="20" spans="1:13">
      <c r="A20" s="120" t="s">
        <v>244</v>
      </c>
      <c r="B20" s="120" t="s">
        <v>47</v>
      </c>
      <c r="C20" s="114" t="s">
        <v>260</v>
      </c>
      <c r="D20" s="121" t="s">
        <v>584</v>
      </c>
      <c r="E20" s="122" t="s">
        <v>116</v>
      </c>
      <c r="F20" s="120" t="s">
        <v>567</v>
      </c>
      <c r="G20" s="123">
        <f>(2370)*1.024</f>
        <v>2426.88</v>
      </c>
      <c r="H20" s="120"/>
      <c r="I20" s="120"/>
      <c r="J20" s="120"/>
      <c r="K20" s="120"/>
      <c r="L20" s="124" t="s">
        <v>255</v>
      </c>
      <c r="M20" s="125"/>
    </row>
    <row r="21" spans="1:13">
      <c r="A21" s="120" t="s">
        <v>245</v>
      </c>
      <c r="B21" s="120" t="s">
        <v>76</v>
      </c>
      <c r="C21" s="114" t="s">
        <v>258</v>
      </c>
      <c r="D21" s="121" t="s">
        <v>585</v>
      </c>
      <c r="E21" s="122" t="s">
        <v>116</v>
      </c>
      <c r="F21" s="120" t="s">
        <v>567</v>
      </c>
      <c r="G21" s="123">
        <v>66328</v>
      </c>
      <c r="H21" s="115"/>
      <c r="L21" s="124" t="s">
        <v>255</v>
      </c>
      <c r="M21" s="125"/>
    </row>
    <row r="22" spans="1:13">
      <c r="A22" s="120" t="s">
        <v>245</v>
      </c>
      <c r="B22" s="120"/>
      <c r="C22" s="114" t="s">
        <v>258</v>
      </c>
      <c r="D22" s="121" t="s">
        <v>586</v>
      </c>
      <c r="E22" s="122" t="s">
        <v>116</v>
      </c>
      <c r="F22" s="120" t="s">
        <v>577</v>
      </c>
      <c r="G22" s="120">
        <v>3419</v>
      </c>
      <c r="H22" s="120"/>
      <c r="I22" s="122"/>
      <c r="J22" s="120"/>
      <c r="K22" s="120"/>
      <c r="L22" s="124"/>
    </row>
    <row r="23" spans="1:13">
      <c r="A23" s="120" t="s">
        <v>246</v>
      </c>
      <c r="B23" s="120" t="s">
        <v>48</v>
      </c>
      <c r="C23" s="114" t="s">
        <v>260</v>
      </c>
      <c r="D23" s="121" t="s">
        <v>587</v>
      </c>
      <c r="E23" s="122" t="s">
        <v>116</v>
      </c>
      <c r="F23" s="120" t="s">
        <v>582</v>
      </c>
      <c r="G23" s="120">
        <f>3412.14+4180.82</f>
        <v>7592.9599999999991</v>
      </c>
      <c r="H23" s="126" t="s">
        <v>583</v>
      </c>
      <c r="I23" s="120" t="s">
        <v>596</v>
      </c>
      <c r="J23" s="120" t="s">
        <v>565</v>
      </c>
      <c r="K23" s="120">
        <v>80000</v>
      </c>
      <c r="L23" s="124" t="s">
        <v>255</v>
      </c>
      <c r="M23" s="125"/>
    </row>
    <row r="24" spans="1:13">
      <c r="A24" s="120" t="s">
        <v>247</v>
      </c>
      <c r="B24" s="120" t="s">
        <v>55</v>
      </c>
      <c r="C24" s="114" t="s">
        <v>259</v>
      </c>
      <c r="E24" s="122"/>
      <c r="F24" s="120"/>
      <c r="G24" s="123"/>
      <c r="H24" s="126" t="s">
        <v>595</v>
      </c>
      <c r="I24" s="120" t="s">
        <v>596</v>
      </c>
      <c r="J24" t="s">
        <v>597</v>
      </c>
      <c r="K24">
        <v>308229</v>
      </c>
      <c r="L24" s="124" t="s">
        <v>255</v>
      </c>
      <c r="M24" s="125"/>
    </row>
    <row r="25" spans="1:13">
      <c r="A25" s="120" t="s">
        <v>49</v>
      </c>
      <c r="B25" s="120" t="s">
        <v>50</v>
      </c>
      <c r="C25" s="114" t="s">
        <v>260</v>
      </c>
      <c r="D25" s="121" t="s">
        <v>581</v>
      </c>
      <c r="E25" s="122" t="s">
        <v>116</v>
      </c>
      <c r="F25" s="120" t="s">
        <v>582</v>
      </c>
      <c r="G25" s="123">
        <v>814</v>
      </c>
      <c r="H25" s="120"/>
      <c r="I25" s="120"/>
      <c r="J25" s="120"/>
      <c r="K25" s="120"/>
      <c r="L25" s="124" t="s">
        <v>255</v>
      </c>
      <c r="M25" s="125"/>
    </row>
    <row r="26" spans="1:13">
      <c r="A26" s="120" t="s">
        <v>248</v>
      </c>
      <c r="B26" s="120" t="s">
        <v>42</v>
      </c>
      <c r="C26" s="114" t="s">
        <v>260</v>
      </c>
      <c r="D26" s="115"/>
      <c r="H26" s="121" t="s">
        <v>588</v>
      </c>
      <c r="I26" s="120" t="s">
        <v>115</v>
      </c>
      <c r="J26" s="120" t="s">
        <v>567</v>
      </c>
      <c r="K26" s="123">
        <v>782000</v>
      </c>
      <c r="L26" s="124" t="s">
        <v>257</v>
      </c>
      <c r="M26" s="125"/>
    </row>
    <row r="27" spans="1:13">
      <c r="A27" s="120" t="s">
        <v>249</v>
      </c>
      <c r="B27" s="120" t="s">
        <v>43</v>
      </c>
      <c r="C27" s="114" t="s">
        <v>260</v>
      </c>
      <c r="D27" s="115"/>
      <c r="H27" s="126" t="s">
        <v>583</v>
      </c>
      <c r="I27" s="120" t="s">
        <v>596</v>
      </c>
      <c r="J27" s="120" t="s">
        <v>565</v>
      </c>
      <c r="K27" s="120">
        <v>80000</v>
      </c>
      <c r="L27" s="124" t="s">
        <v>257</v>
      </c>
      <c r="M27" s="125"/>
    </row>
    <row r="28" spans="1:13">
      <c r="A28" s="120" t="s">
        <v>250</v>
      </c>
      <c r="B28" s="120" t="s">
        <v>56</v>
      </c>
      <c r="C28" s="114" t="s">
        <v>259</v>
      </c>
      <c r="D28" s="120"/>
      <c r="E28" s="120"/>
      <c r="F28" s="120"/>
      <c r="G28" s="123"/>
      <c r="H28" s="120"/>
      <c r="I28" s="120"/>
      <c r="J28" s="120"/>
      <c r="K28" s="120"/>
      <c r="L28" s="124" t="s">
        <v>255</v>
      </c>
      <c r="M28" s="125"/>
    </row>
    <row r="29" spans="1:13">
      <c r="A29" s="120" t="s">
        <v>251</v>
      </c>
      <c r="B29" s="120" t="s">
        <v>57</v>
      </c>
      <c r="C29" s="114" t="s">
        <v>259</v>
      </c>
      <c r="D29" s="115"/>
      <c r="H29" s="126" t="s">
        <v>583</v>
      </c>
      <c r="I29" s="120" t="s">
        <v>596</v>
      </c>
      <c r="J29" s="120" t="s">
        <v>565</v>
      </c>
      <c r="K29" s="120">
        <v>120000</v>
      </c>
      <c r="L29" s="124" t="s">
        <v>255</v>
      </c>
      <c r="M29" s="125"/>
    </row>
    <row r="30" spans="1:13">
      <c r="A30" s="127" t="s">
        <v>77</v>
      </c>
      <c r="B30" s="127" t="s">
        <v>39</v>
      </c>
      <c r="C30" s="128" t="s">
        <v>258</v>
      </c>
      <c r="D30" s="120"/>
      <c r="E30" s="120"/>
      <c r="F30" s="120"/>
      <c r="G30" s="123"/>
      <c r="H30" s="120"/>
      <c r="I30" s="120"/>
      <c r="J30" s="120"/>
      <c r="K30" s="120"/>
      <c r="L30" s="125"/>
      <c r="M30" s="125"/>
    </row>
    <row r="31" spans="1:13">
      <c r="A31" s="120" t="s">
        <v>252</v>
      </c>
      <c r="B31" s="120" t="s">
        <v>58</v>
      </c>
      <c r="C31" s="114" t="s">
        <v>259</v>
      </c>
      <c r="D31" s="120"/>
      <c r="E31" s="120"/>
      <c r="F31" s="120"/>
      <c r="G31" s="123"/>
      <c r="H31" s="120"/>
      <c r="I31" s="120"/>
      <c r="J31" s="120"/>
      <c r="K31" s="120"/>
      <c r="L31" s="124" t="s">
        <v>255</v>
      </c>
      <c r="M31" s="125"/>
    </row>
    <row r="32" spans="1:13">
      <c r="A32" s="120" t="s">
        <v>253</v>
      </c>
      <c r="B32" s="120" t="s">
        <v>59</v>
      </c>
      <c r="C32" s="114" t="s">
        <v>259</v>
      </c>
      <c r="D32" s="121" t="s">
        <v>586</v>
      </c>
      <c r="E32" s="122" t="s">
        <v>116</v>
      </c>
      <c r="F32" s="120" t="s">
        <v>577</v>
      </c>
      <c r="G32" s="120">
        <f>2672.6*1.024</f>
        <v>2736.7424000000001</v>
      </c>
      <c r="H32" s="120"/>
      <c r="I32" s="120"/>
      <c r="J32" s="120"/>
      <c r="K32" s="120"/>
      <c r="L32" s="124" t="s">
        <v>255</v>
      </c>
      <c r="M32" s="125"/>
    </row>
    <row r="33" spans="1:13">
      <c r="A33" s="120" t="s">
        <v>254</v>
      </c>
      <c r="B33" s="120" t="s">
        <v>44</v>
      </c>
      <c r="C33" s="114" t="s">
        <v>260</v>
      </c>
      <c r="D33" s="121" t="s">
        <v>589</v>
      </c>
      <c r="E33" s="122" t="s">
        <v>116</v>
      </c>
      <c r="F33" s="120" t="s">
        <v>567</v>
      </c>
      <c r="G33" s="123">
        <v>9174.3700000000008</v>
      </c>
      <c r="H33" s="126" t="s">
        <v>583</v>
      </c>
      <c r="I33" s="120" t="s">
        <v>596</v>
      </c>
      <c r="J33" s="120" t="s">
        <v>565</v>
      </c>
      <c r="K33" s="120">
        <v>80000</v>
      </c>
      <c r="L33" s="124" t="s">
        <v>257</v>
      </c>
      <c r="M33" s="125"/>
    </row>
    <row r="34" spans="1:13">
      <c r="A34" s="127" t="s">
        <v>78</v>
      </c>
      <c r="B34" s="127" t="s">
        <v>41</v>
      </c>
      <c r="C34" s="128" t="s">
        <v>258</v>
      </c>
      <c r="D34" s="120"/>
      <c r="E34" s="120"/>
      <c r="F34" s="120"/>
      <c r="G34" s="123"/>
      <c r="H34" s="120"/>
      <c r="I34" s="120"/>
      <c r="J34" s="120"/>
      <c r="K34" s="120"/>
      <c r="L34" s="125"/>
      <c r="M34" s="125"/>
    </row>
    <row r="35" spans="1:13">
      <c r="A35" s="120" t="s">
        <v>60</v>
      </c>
      <c r="B35" s="120" t="s">
        <v>61</v>
      </c>
      <c r="C35" s="114" t="s">
        <v>259</v>
      </c>
      <c r="D35" s="115"/>
      <c r="H35" s="121" t="s">
        <v>583</v>
      </c>
      <c r="I35" s="120" t="s">
        <v>115</v>
      </c>
      <c r="J35" s="120" t="s">
        <v>565</v>
      </c>
      <c r="K35" s="120">
        <v>210000</v>
      </c>
      <c r="L35" s="124" t="s">
        <v>255</v>
      </c>
      <c r="M35" s="125"/>
    </row>
    <row r="36" spans="1:13">
      <c r="A36" s="120" t="s">
        <v>79</v>
      </c>
      <c r="B36" s="120" t="s">
        <v>80</v>
      </c>
      <c r="C36" s="114" t="s">
        <v>259</v>
      </c>
      <c r="D36" s="121" t="s">
        <v>584</v>
      </c>
      <c r="E36" s="122" t="s">
        <v>116</v>
      </c>
      <c r="F36" s="120" t="s">
        <v>582</v>
      </c>
      <c r="G36" s="123">
        <v>7584</v>
      </c>
      <c r="H36" s="121" t="s">
        <v>583</v>
      </c>
      <c r="I36" s="120" t="s">
        <v>115</v>
      </c>
      <c r="J36" s="120" t="s">
        <v>565</v>
      </c>
      <c r="K36" s="120">
        <v>210000</v>
      </c>
      <c r="L36" s="124" t="s">
        <v>255</v>
      </c>
      <c r="M36" s="125"/>
    </row>
    <row r="37" spans="1:13">
      <c r="A37" s="120" t="s">
        <v>81</v>
      </c>
      <c r="B37" s="120" t="s">
        <v>82</v>
      </c>
      <c r="C37" s="114" t="s">
        <v>258</v>
      </c>
      <c r="D37" s="121" t="s">
        <v>576</v>
      </c>
      <c r="E37" s="122" t="s">
        <v>116</v>
      </c>
      <c r="F37" s="120" t="s">
        <v>577</v>
      </c>
      <c r="G37" s="123">
        <f>113250*1.024</f>
        <v>115968</v>
      </c>
      <c r="H37" s="129" t="s">
        <v>590</v>
      </c>
      <c r="I37" s="130" t="s">
        <v>115</v>
      </c>
      <c r="J37" s="130" t="s">
        <v>565</v>
      </c>
      <c r="K37">
        <v>15000</v>
      </c>
      <c r="L37" s="124" t="s">
        <v>255</v>
      </c>
      <c r="M37" s="125"/>
    </row>
    <row r="38" spans="1:13">
      <c r="A38" s="120" t="s">
        <v>81</v>
      </c>
      <c r="B38" s="120"/>
      <c r="C38" s="114" t="s">
        <v>258</v>
      </c>
      <c r="D38" s="121" t="s">
        <v>591</v>
      </c>
      <c r="E38" s="122" t="s">
        <v>116</v>
      </c>
      <c r="F38" s="120" t="s">
        <v>582</v>
      </c>
      <c r="G38" s="120">
        <f>6009.76*1.024</f>
        <v>6153.99424</v>
      </c>
      <c r="H38" s="120"/>
      <c r="I38" s="122"/>
      <c r="J38" s="120"/>
      <c r="K38" s="120"/>
      <c r="L38" s="124"/>
    </row>
    <row r="39" spans="1:13">
      <c r="A39" s="120" t="s">
        <v>83</v>
      </c>
      <c r="B39" s="120" t="s">
        <v>84</v>
      </c>
      <c r="C39" s="114" t="s">
        <v>258</v>
      </c>
      <c r="D39" s="120"/>
      <c r="E39" s="120"/>
      <c r="F39" s="120"/>
      <c r="G39" s="123"/>
      <c r="H39" s="120"/>
      <c r="I39" s="120"/>
      <c r="J39" s="120"/>
      <c r="K39" s="120"/>
      <c r="L39" s="124" t="s">
        <v>255</v>
      </c>
      <c r="M39" s="125"/>
    </row>
    <row r="40" spans="1:13">
      <c r="A40" s="120" t="s">
        <v>85</v>
      </c>
      <c r="B40" s="120" t="s">
        <v>86</v>
      </c>
      <c r="C40" s="114" t="s">
        <v>258</v>
      </c>
      <c r="D40" s="120"/>
      <c r="E40" s="120"/>
      <c r="F40" s="120"/>
      <c r="G40" s="123"/>
      <c r="H40" s="120"/>
      <c r="I40" s="120"/>
      <c r="J40" s="120"/>
      <c r="K40" s="120"/>
      <c r="L40" s="124" t="s">
        <v>255</v>
      </c>
      <c r="M40" s="125"/>
    </row>
    <row r="41" spans="1:13">
      <c r="A41" s="120" t="s">
        <v>87</v>
      </c>
      <c r="B41" s="120" t="s">
        <v>88</v>
      </c>
      <c r="C41" s="114" t="s">
        <v>258</v>
      </c>
      <c r="D41" s="120"/>
      <c r="E41" s="120"/>
      <c r="F41" s="120"/>
      <c r="G41" s="123"/>
      <c r="H41" s="120"/>
      <c r="I41" s="120"/>
      <c r="J41" s="120"/>
      <c r="K41" s="120"/>
      <c r="L41" s="124" t="s">
        <v>255</v>
      </c>
      <c r="M41" s="125"/>
    </row>
    <row r="42" spans="1:13">
      <c r="D42" s="121">
        <v>13</v>
      </c>
      <c r="H42" s="129">
        <v>4</v>
      </c>
      <c r="I42" s="129" t="s">
        <v>594</v>
      </c>
    </row>
    <row r="43" spans="1:13">
      <c r="A43" t="s">
        <v>592</v>
      </c>
      <c r="D43" s="121" t="s">
        <v>593</v>
      </c>
      <c r="H43" s="126">
        <f>7+1</f>
        <v>8</v>
      </c>
      <c r="I43" s="126" t="s">
        <v>598</v>
      </c>
    </row>
    <row r="44" spans="1:13">
      <c r="D44" s="115"/>
      <c r="H44" s="115"/>
    </row>
    <row r="45" spans="1:13">
      <c r="D45" s="115"/>
      <c r="H45" s="115"/>
    </row>
    <row r="46" spans="1:13">
      <c r="D46" s="115"/>
      <c r="H46" s="115"/>
    </row>
    <row r="47" spans="1:13">
      <c r="D47" s="115"/>
      <c r="H47" s="115"/>
    </row>
    <row r="48" spans="1:13">
      <c r="D48" s="115"/>
      <c r="H48" s="115"/>
    </row>
    <row r="49" spans="4:8">
      <c r="D49" s="115"/>
      <c r="H49" s="115"/>
    </row>
    <row r="50" spans="4:8">
      <c r="D50" s="115"/>
      <c r="H50" s="115"/>
    </row>
    <row r="51" spans="4:8">
      <c r="D51" s="115"/>
      <c r="H51" s="115"/>
    </row>
    <row r="52" spans="4:8">
      <c r="D52" s="115"/>
      <c r="H52" s="115"/>
    </row>
    <row r="53" spans="4:8">
      <c r="D53" s="115"/>
      <c r="H53" s="115"/>
    </row>
    <row r="54" spans="4:8">
      <c r="D54" s="115"/>
      <c r="H54" s="115"/>
    </row>
    <row r="55" spans="4:8">
      <c r="D55" s="115"/>
      <c r="H55" s="115"/>
    </row>
    <row r="56" spans="4:8">
      <c r="D56" s="115"/>
      <c r="H56" s="115"/>
    </row>
    <row r="57" spans="4:8">
      <c r="D57" s="115"/>
      <c r="H57" s="115"/>
    </row>
    <row r="58" spans="4:8">
      <c r="D58" s="115"/>
      <c r="H58" s="115"/>
    </row>
    <row r="59" spans="4:8">
      <c r="D59" s="115"/>
      <c r="H59" s="115"/>
    </row>
    <row r="60" spans="4:8">
      <c r="D60" s="115"/>
      <c r="H60" s="115"/>
    </row>
    <row r="61" spans="4:8">
      <c r="D61" s="115"/>
      <c r="H61" s="115"/>
    </row>
  </sheetData>
  <dataValidations count="1">
    <dataValidation type="list" allowBlank="1" showInputMessage="1" showErrorMessage="1" sqref="L6:L41" xr:uid="{B485993F-158F-4E81-ACFB-6024B1C8C43D}">
      <formula1>"Oui, Non, SO"</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F25AC-F5D9-40D7-928D-0A418937DD67}">
  <dimension ref="A1:AF85"/>
  <sheetViews>
    <sheetView topLeftCell="N1" workbookViewId="0">
      <selection activeCell="X13" sqref="X13"/>
    </sheetView>
  </sheetViews>
  <sheetFormatPr baseColWidth="10" defaultColWidth="8.7109375" defaultRowHeight="15"/>
  <cols>
    <col min="2" max="2" width="9.140625" style="89"/>
    <col min="3" max="3" width="35" customWidth="1"/>
    <col min="4" max="4" width="13.5703125" customWidth="1"/>
    <col min="5" max="5" width="14.140625" customWidth="1"/>
    <col min="6" max="9" width="8.7109375" customWidth="1"/>
    <col min="10" max="10" width="17.140625" customWidth="1"/>
    <col min="11" max="11" width="13.5703125" customWidth="1"/>
    <col min="13" max="13" width="13.85546875" customWidth="1"/>
    <col min="14" max="14" width="14.42578125" customWidth="1"/>
    <col min="15" max="15" width="14.140625" customWidth="1"/>
    <col min="16" max="16" width="38.85546875" customWidth="1"/>
    <col min="17" max="17" width="17.5703125" customWidth="1"/>
    <col min="18" max="18" width="13.28515625" customWidth="1"/>
    <col min="19" max="19" width="15.85546875" customWidth="1"/>
    <col min="20" max="20" width="18.85546875" customWidth="1"/>
    <col min="21" max="21" width="18.7109375" customWidth="1"/>
    <col min="22" max="22" width="18.5703125" customWidth="1"/>
    <col min="23" max="23" width="11.85546875" customWidth="1"/>
    <col min="24" max="24" width="19.28515625" customWidth="1"/>
    <col min="28" max="28" width="10.5703125" customWidth="1"/>
    <col min="30" max="30" width="8.7109375" hidden="1" customWidth="1"/>
    <col min="31" max="31" width="57.7109375" hidden="1" customWidth="1"/>
    <col min="32" max="32" width="8.7109375" hidden="1" customWidth="1"/>
  </cols>
  <sheetData>
    <row r="1" spans="1:31" ht="15.75">
      <c r="A1" s="58" t="s">
        <v>29</v>
      </c>
      <c r="C1" s="14" t="s">
        <v>7</v>
      </c>
      <c r="D1" s="163" t="s">
        <v>8</v>
      </c>
      <c r="E1" s="163"/>
      <c r="F1" s="164" t="s">
        <v>9</v>
      </c>
      <c r="G1" s="164"/>
      <c r="P1" s="14" t="s">
        <v>7</v>
      </c>
      <c r="Q1" s="62"/>
      <c r="R1" s="62"/>
      <c r="S1" s="62"/>
      <c r="T1" s="62"/>
      <c r="U1" s="62"/>
      <c r="V1" t="s">
        <v>36</v>
      </c>
    </row>
    <row r="2" spans="1:31" ht="60">
      <c r="A2" t="s">
        <v>1</v>
      </c>
      <c r="B2" s="89" t="s">
        <v>2</v>
      </c>
      <c r="C2" t="s">
        <v>143</v>
      </c>
      <c r="D2" s="14" t="s">
        <v>4</v>
      </c>
      <c r="E2" s="14" t="s">
        <v>5</v>
      </c>
      <c r="F2" s="14" t="s">
        <v>4</v>
      </c>
      <c r="G2" s="14" t="s">
        <v>5</v>
      </c>
      <c r="H2" s="14" t="s">
        <v>6</v>
      </c>
      <c r="I2" s="14" t="s">
        <v>22</v>
      </c>
      <c r="J2" s="14" t="s">
        <v>23</v>
      </c>
      <c r="K2" s="14" t="s">
        <v>0</v>
      </c>
      <c r="L2" s="14" t="s">
        <v>24</v>
      </c>
      <c r="M2" s="14" t="s">
        <v>25</v>
      </c>
      <c r="N2" s="14" t="s">
        <v>26</v>
      </c>
      <c r="O2" s="18" t="s">
        <v>27</v>
      </c>
      <c r="P2" t="s">
        <v>143</v>
      </c>
      <c r="Q2" s="62" t="s">
        <v>30</v>
      </c>
      <c r="R2" s="62" t="s">
        <v>31</v>
      </c>
      <c r="S2" s="63" t="s">
        <v>34</v>
      </c>
      <c r="T2" s="63" t="s">
        <v>32</v>
      </c>
      <c r="U2" s="63" t="s">
        <v>33</v>
      </c>
      <c r="V2" s="64" t="s">
        <v>35</v>
      </c>
      <c r="W2" s="64" t="s">
        <v>144</v>
      </c>
      <c r="X2" s="64" t="s">
        <v>145</v>
      </c>
      <c r="Y2" s="90"/>
      <c r="Z2" s="90"/>
      <c r="AA2" s="90"/>
      <c r="AE2" s="74" t="s">
        <v>37</v>
      </c>
    </row>
    <row r="3" spans="1:31">
      <c r="A3">
        <v>1</v>
      </c>
      <c r="B3" s="89">
        <v>1</v>
      </c>
      <c r="C3" t="s">
        <v>146</v>
      </c>
      <c r="D3" s="15"/>
      <c r="E3" s="15"/>
      <c r="F3" s="15"/>
      <c r="G3" s="15"/>
      <c r="H3" s="15"/>
      <c r="I3" s="15"/>
      <c r="J3" s="15"/>
      <c r="K3" s="65">
        <f>IF($C3='[2]4. Board Level Worksheet'!$C$5,'[2]4. Board Level Worksheet'!$C$18,"")</f>
        <v>0.875108</v>
      </c>
      <c r="L3" s="65">
        <f>IF($C3='[2]4. Board Level Worksheet'!$C$5,'[2]4. Board Level Worksheet'!$C$19,"")</f>
        <v>0.46170500000000003</v>
      </c>
      <c r="M3" s="67">
        <f>IF($C3='[2]4. Board Level Worksheet'!$C$5,'[2]4. Board Level Worksheet'!$C$21,"")</f>
        <v>0</v>
      </c>
      <c r="N3" s="67">
        <f>IF($C3='[2]4. Board Level Worksheet'!$C$5,'[2]4. Board Level Worksheet'!$C$28,"")</f>
        <v>0</v>
      </c>
      <c r="O3" s="67"/>
      <c r="P3" t="s">
        <v>146</v>
      </c>
      <c r="Q3" s="67">
        <v>293100</v>
      </c>
      <c r="R3" s="67">
        <v>293100</v>
      </c>
      <c r="S3" s="67">
        <v>161908</v>
      </c>
      <c r="T3" s="67">
        <v>18000</v>
      </c>
      <c r="U3" s="67">
        <v>109</v>
      </c>
      <c r="V3" s="67">
        <f>U3*1000</f>
        <v>109000</v>
      </c>
      <c r="W3" s="67">
        <v>268398</v>
      </c>
      <c r="X3" s="67">
        <v>193307</v>
      </c>
      <c r="Y3" s="66"/>
      <c r="Z3" s="66"/>
      <c r="AA3" s="66"/>
      <c r="AE3" s="73" t="s">
        <v>258</v>
      </c>
    </row>
    <row r="4" spans="1:31">
      <c r="A4">
        <v>2</v>
      </c>
      <c r="B4" s="89">
        <v>2</v>
      </c>
      <c r="C4" t="s">
        <v>147</v>
      </c>
      <c r="D4" s="15"/>
      <c r="E4" s="15"/>
      <c r="F4" s="15"/>
      <c r="G4" s="15"/>
      <c r="H4" s="15"/>
      <c r="I4" s="15"/>
      <c r="J4" s="15"/>
      <c r="K4" s="65" t="str">
        <f>IF($C4='[2]4. Board Level Worksheet'!$C$5,'[2]4. Board Level Worksheet'!$C$18,"")</f>
        <v/>
      </c>
      <c r="L4" s="65" t="str">
        <f>IF($C4='[2]4. Board Level Worksheet'!$C$5,'[2]4. Board Level Worksheet'!$C$19,"")</f>
        <v/>
      </c>
      <c r="M4" s="67" t="str">
        <f>IF($C4='[2]4. Board Level Worksheet'!$C$5,'[2]4. Board Level Worksheet'!$C$21,"")</f>
        <v/>
      </c>
      <c r="N4" s="67" t="str">
        <f>IF($C4='[2]4. Board Level Worksheet'!$C$5,'[2]4. Board Level Worksheet'!$C$28,"")</f>
        <v/>
      </c>
      <c r="O4" s="67" t="str">
        <f>IF($C4='[2]4. Board Level Worksheet'!$C$5,'[2]4. Board Level Worksheet'!#REF!,"")</f>
        <v/>
      </c>
      <c r="P4" t="s">
        <v>147</v>
      </c>
      <c r="Q4" s="67">
        <v>416400</v>
      </c>
      <c r="R4" s="67">
        <v>416400</v>
      </c>
      <c r="S4" s="67">
        <v>178138</v>
      </c>
      <c r="T4" s="67">
        <v>28000</v>
      </c>
      <c r="U4" s="67">
        <v>132</v>
      </c>
      <c r="V4" s="67">
        <f t="shared" ref="V4:V67" si="0">U4*1000</f>
        <v>132000</v>
      </c>
      <c r="W4" s="67">
        <v>323016</v>
      </c>
      <c r="X4" s="67">
        <v>227876</v>
      </c>
      <c r="Y4" s="66"/>
      <c r="Z4" s="66"/>
      <c r="AA4" s="66"/>
      <c r="AE4" s="73" t="s">
        <v>259</v>
      </c>
    </row>
    <row r="5" spans="1:31">
      <c r="A5">
        <v>3</v>
      </c>
      <c r="B5" s="89">
        <v>3</v>
      </c>
      <c r="C5" t="s">
        <v>148</v>
      </c>
      <c r="D5" s="15"/>
      <c r="E5" s="15"/>
      <c r="F5" s="15"/>
      <c r="G5" s="15"/>
      <c r="H5" s="15"/>
      <c r="I5" s="15"/>
      <c r="J5" s="15"/>
      <c r="K5" s="65" t="str">
        <f>IF($C5='[2]4. Board Level Worksheet'!$C$5,'[2]4. Board Level Worksheet'!$C$18,"")</f>
        <v/>
      </c>
      <c r="L5" s="65" t="str">
        <f>IF($C5='[2]4. Board Level Worksheet'!$C$5,'[2]4. Board Level Worksheet'!$C$19,"")</f>
        <v/>
      </c>
      <c r="M5" s="67" t="str">
        <f>IF($C5='[2]4. Board Level Worksheet'!$C$5,'[2]4. Board Level Worksheet'!$C$21,"")</f>
        <v/>
      </c>
      <c r="N5" s="67" t="str">
        <f>IF($C5='[2]4. Board Level Worksheet'!$C$5,'[2]4. Board Level Worksheet'!$C$28,"")</f>
        <v/>
      </c>
      <c r="O5" s="67" t="str">
        <f>IF($C5='[2]4. Board Level Worksheet'!$C$5,'[2]4. Board Level Worksheet'!#REF!,"")</f>
        <v/>
      </c>
      <c r="P5" t="s">
        <v>148</v>
      </c>
      <c r="Q5" s="67">
        <v>449100</v>
      </c>
      <c r="R5" s="67">
        <v>449100</v>
      </c>
      <c r="S5" s="67">
        <v>208436</v>
      </c>
      <c r="T5" s="67">
        <v>34000</v>
      </c>
      <c r="U5" s="67">
        <v>900</v>
      </c>
      <c r="V5" s="67">
        <f t="shared" si="0"/>
        <v>900000</v>
      </c>
      <c r="W5" s="67">
        <v>510593</v>
      </c>
      <c r="X5" s="67">
        <v>327370</v>
      </c>
      <c r="Y5" s="66"/>
      <c r="Z5" s="66"/>
      <c r="AA5" s="66"/>
      <c r="AE5" s="73" t="s">
        <v>260</v>
      </c>
    </row>
    <row r="6" spans="1:31">
      <c r="A6">
        <v>4</v>
      </c>
      <c r="B6" s="89">
        <v>4</v>
      </c>
      <c r="C6" t="s">
        <v>149</v>
      </c>
      <c r="D6" s="15"/>
      <c r="E6" s="15"/>
      <c r="F6" s="15"/>
      <c r="G6" s="15"/>
      <c r="H6" s="15"/>
      <c r="I6" s="15"/>
      <c r="J6" s="15"/>
      <c r="K6" s="65" t="str">
        <f>IF($C6='[2]4. Board Level Worksheet'!$C$5,'[2]4. Board Level Worksheet'!$C$18,"")</f>
        <v/>
      </c>
      <c r="L6" s="65" t="str">
        <f>IF($C6='[2]4. Board Level Worksheet'!$C$5,'[2]4. Board Level Worksheet'!$C$19,"")</f>
        <v/>
      </c>
      <c r="M6" s="67" t="str">
        <f>IF($C6='[2]4. Board Level Worksheet'!$C$5,'[2]4. Board Level Worksheet'!$C$21,"")</f>
        <v/>
      </c>
      <c r="N6" s="67" t="str">
        <f>IF($C6='[2]4. Board Level Worksheet'!$C$5,'[2]4. Board Level Worksheet'!$C$28,"")</f>
        <v/>
      </c>
      <c r="O6" s="67" t="str">
        <f>IF($C6='[2]4. Board Level Worksheet'!$C$5,'[2]4. Board Level Worksheet'!#REF!,"")</f>
        <v/>
      </c>
      <c r="P6" t="s">
        <v>149</v>
      </c>
      <c r="Q6" s="67">
        <v>356200</v>
      </c>
      <c r="R6" s="67">
        <v>356200</v>
      </c>
      <c r="S6" s="67">
        <v>172157</v>
      </c>
      <c r="T6" s="67">
        <v>23000</v>
      </c>
      <c r="U6" s="67">
        <v>181</v>
      </c>
      <c r="V6" s="67">
        <f t="shared" si="0"/>
        <v>181000</v>
      </c>
      <c r="W6" s="67">
        <v>411489</v>
      </c>
      <c r="X6" s="67">
        <v>282901</v>
      </c>
      <c r="Y6" s="66"/>
      <c r="Z6" s="66"/>
      <c r="AA6" s="66"/>
    </row>
    <row r="7" spans="1:31">
      <c r="A7">
        <v>5</v>
      </c>
      <c r="B7" s="89" t="s">
        <v>10</v>
      </c>
      <c r="C7" t="s">
        <v>150</v>
      </c>
      <c r="D7" s="15"/>
      <c r="E7" s="15"/>
      <c r="F7" s="15"/>
      <c r="G7" s="15"/>
      <c r="H7" s="15"/>
      <c r="I7" s="15"/>
      <c r="J7" s="15"/>
      <c r="K7" s="65" t="str">
        <f>IF($C7='[2]4. Board Level Worksheet'!$C$5,'[2]4. Board Level Worksheet'!$C$18,"")</f>
        <v/>
      </c>
      <c r="L7" s="65" t="str">
        <f>IF($C7='[2]4. Board Level Worksheet'!$C$5,'[2]4. Board Level Worksheet'!$C$19,"")</f>
        <v/>
      </c>
      <c r="M7" s="67" t="str">
        <f>IF($C7='[2]4. Board Level Worksheet'!$C$5,'[2]4. Board Level Worksheet'!$C$21,"")</f>
        <v/>
      </c>
      <c r="N7" s="67" t="str">
        <f>IF($C7='[2]4. Board Level Worksheet'!$C$5,'[2]4. Board Level Worksheet'!$C$28,"")</f>
        <v/>
      </c>
      <c r="O7" s="67" t="str">
        <f>IF($C7='[2]4. Board Level Worksheet'!$C$5,'[2]4. Board Level Worksheet'!#REF!,"")</f>
        <v/>
      </c>
      <c r="P7" t="s">
        <v>150</v>
      </c>
      <c r="Q7" s="67">
        <v>170900</v>
      </c>
      <c r="R7" s="67">
        <v>170900</v>
      </c>
      <c r="S7" s="67">
        <v>101339</v>
      </c>
      <c r="T7" s="67">
        <v>13000</v>
      </c>
      <c r="U7" s="67">
        <v>23</v>
      </c>
      <c r="V7" s="67">
        <f t="shared" si="0"/>
        <v>23000</v>
      </c>
      <c r="W7" s="67">
        <v>107495</v>
      </c>
      <c r="X7" s="67">
        <v>87815</v>
      </c>
      <c r="Y7" s="66"/>
      <c r="Z7" s="66"/>
      <c r="AA7" s="66"/>
    </row>
    <row r="8" spans="1:31">
      <c r="A8">
        <v>6</v>
      </c>
      <c r="B8" s="89" t="s">
        <v>11</v>
      </c>
      <c r="C8" t="s">
        <v>151</v>
      </c>
      <c r="D8" s="15"/>
      <c r="E8" s="15"/>
      <c r="F8" s="15"/>
      <c r="G8" s="15"/>
      <c r="H8" s="15"/>
      <c r="I8" s="15"/>
      <c r="J8" s="15"/>
      <c r="K8" s="65" t="str">
        <f>IF($C8='[2]4. Board Level Worksheet'!$C$5,'[2]4. Board Level Worksheet'!$C$18,"")</f>
        <v/>
      </c>
      <c r="L8" s="65" t="str">
        <f>IF($C8='[2]4. Board Level Worksheet'!$C$5,'[2]4. Board Level Worksheet'!$C$19,"")</f>
        <v/>
      </c>
      <c r="M8" s="67" t="str">
        <f>IF($C8='[2]4. Board Level Worksheet'!$C$5,'[2]4. Board Level Worksheet'!$C$21,"")</f>
        <v/>
      </c>
      <c r="N8" s="67" t="str">
        <f>IF($C8='[2]4. Board Level Worksheet'!$C$5,'[2]4. Board Level Worksheet'!$C$28,"")</f>
        <v/>
      </c>
      <c r="O8" s="67" t="str">
        <f>IF($C8='[2]4. Board Level Worksheet'!$C$5,'[2]4. Board Level Worksheet'!#REF!,"")</f>
        <v/>
      </c>
      <c r="P8" t="s">
        <v>151</v>
      </c>
      <c r="Q8" s="67">
        <v>111400</v>
      </c>
      <c r="R8" s="67">
        <v>111400</v>
      </c>
      <c r="S8" s="67">
        <v>51128</v>
      </c>
      <c r="T8" s="67">
        <v>8000</v>
      </c>
      <c r="U8" s="67">
        <v>19</v>
      </c>
      <c r="V8" s="67">
        <f t="shared" si="0"/>
        <v>19000</v>
      </c>
      <c r="W8" s="67">
        <v>85994</v>
      </c>
      <c r="X8" s="67">
        <v>68688</v>
      </c>
      <c r="Y8" s="66"/>
      <c r="Z8" s="66"/>
      <c r="AA8" s="66"/>
    </row>
    <row r="9" spans="1:31">
      <c r="A9">
        <v>7</v>
      </c>
      <c r="B9" s="89" t="s">
        <v>12</v>
      </c>
      <c r="C9" t="s">
        <v>152</v>
      </c>
      <c r="D9" s="15"/>
      <c r="E9" s="15"/>
      <c r="F9" s="15"/>
      <c r="G9" s="15"/>
      <c r="H9" s="15"/>
      <c r="I9" s="15"/>
      <c r="J9" s="15"/>
      <c r="K9" s="65" t="str">
        <f>IF($C9='[2]4. Board Level Worksheet'!$C$5,'[2]4. Board Level Worksheet'!$C$18,"")</f>
        <v/>
      </c>
      <c r="L9" s="65" t="str">
        <f>IF($C9='[2]4. Board Level Worksheet'!$C$5,'[2]4. Board Level Worksheet'!$C$19,"")</f>
        <v/>
      </c>
      <c r="M9" s="67" t="str">
        <f>IF($C9='[2]4. Board Level Worksheet'!$C$5,'[2]4. Board Level Worksheet'!$C$21,"")</f>
        <v/>
      </c>
      <c r="N9" s="67" t="str">
        <f>IF($C9='[2]4. Board Level Worksheet'!$C$5,'[2]4. Board Level Worksheet'!$C$28,"")</f>
        <v/>
      </c>
      <c r="O9" s="67" t="str">
        <f>IF($C9='[2]4. Board Level Worksheet'!$C$5,'[2]4. Board Level Worksheet'!#REF!,"")</f>
        <v/>
      </c>
      <c r="P9" t="s">
        <v>152</v>
      </c>
      <c r="Q9" s="67">
        <v>293800</v>
      </c>
      <c r="R9" s="67">
        <v>293800</v>
      </c>
      <c r="S9" s="67">
        <v>122324</v>
      </c>
      <c r="T9" s="67">
        <v>20000</v>
      </c>
      <c r="U9" s="67">
        <v>26</v>
      </c>
      <c r="V9" s="67">
        <f t="shared" si="0"/>
        <v>26000</v>
      </c>
      <c r="W9" s="67">
        <v>164466</v>
      </c>
      <c r="X9" s="67">
        <v>129906</v>
      </c>
      <c r="Y9" s="66"/>
      <c r="Z9" s="66"/>
      <c r="AA9" s="66"/>
    </row>
    <row r="10" spans="1:31">
      <c r="A10">
        <v>8</v>
      </c>
      <c r="B10" s="89" t="s">
        <v>13</v>
      </c>
      <c r="C10" t="s">
        <v>153</v>
      </c>
      <c r="D10" s="15"/>
      <c r="E10" s="15"/>
      <c r="F10" s="15"/>
      <c r="G10" s="15"/>
      <c r="H10" s="15"/>
      <c r="I10" s="15"/>
      <c r="J10" s="15"/>
      <c r="K10" s="65" t="str">
        <f>IF($C10='[2]4. Board Level Worksheet'!$C$5,'[2]4. Board Level Worksheet'!$C$18,"")</f>
        <v/>
      </c>
      <c r="L10" s="65" t="str">
        <f>IF($C10='[2]4. Board Level Worksheet'!$C$5,'[2]4. Board Level Worksheet'!$C$19,"")</f>
        <v/>
      </c>
      <c r="M10" s="67" t="str">
        <f>IF($C10='[2]4. Board Level Worksheet'!$C$5,'[2]4. Board Level Worksheet'!$C$21,"")</f>
        <v/>
      </c>
      <c r="N10" s="67" t="str">
        <f>IF($C10='[2]4. Board Level Worksheet'!$C$5,'[2]4. Board Level Worksheet'!$C$28,"")</f>
        <v/>
      </c>
      <c r="O10" s="67" t="str">
        <f>IF($C10='[2]4. Board Level Worksheet'!$C$5,'[2]4. Board Level Worksheet'!#REF!,"")</f>
        <v/>
      </c>
      <c r="P10" t="s">
        <v>153</v>
      </c>
      <c r="Q10" s="67">
        <v>148200</v>
      </c>
      <c r="R10" s="67">
        <v>148200</v>
      </c>
      <c r="S10" s="67">
        <v>62121</v>
      </c>
      <c r="T10" s="67">
        <v>6000</v>
      </c>
      <c r="U10" s="67">
        <v>10</v>
      </c>
      <c r="V10" s="67">
        <f t="shared" si="0"/>
        <v>10000</v>
      </c>
      <c r="W10" s="67">
        <v>89867</v>
      </c>
      <c r="X10" s="67">
        <v>68731</v>
      </c>
      <c r="Y10" s="66"/>
      <c r="Z10" s="66"/>
      <c r="AA10" s="66"/>
    </row>
    <row r="11" spans="1:31">
      <c r="A11">
        <v>9</v>
      </c>
      <c r="B11" s="89">
        <v>7</v>
      </c>
      <c r="C11" t="s">
        <v>154</v>
      </c>
      <c r="D11" s="15"/>
      <c r="E11" s="15"/>
      <c r="F11" s="15"/>
      <c r="G11" s="15"/>
      <c r="H11" s="15"/>
      <c r="I11" s="15"/>
      <c r="J11" s="15"/>
      <c r="K11" s="65" t="str">
        <f>IF($C11='[2]4. Board Level Worksheet'!$C$5,'[2]4. Board Level Worksheet'!$C$18,"")</f>
        <v/>
      </c>
      <c r="L11" s="65" t="str">
        <f>IF($C11='[2]4. Board Level Worksheet'!$C$5,'[2]4. Board Level Worksheet'!$C$19,"")</f>
        <v/>
      </c>
      <c r="M11" s="67" t="str">
        <f>IF($C11='[2]4. Board Level Worksheet'!$C$5,'[2]4. Board Level Worksheet'!$C$21,"")</f>
        <v/>
      </c>
      <c r="N11" s="67" t="str">
        <f>IF($C11='[2]4. Board Level Worksheet'!$C$5,'[2]4. Board Level Worksheet'!$C$28,"")</f>
        <v/>
      </c>
      <c r="O11" s="67" t="str">
        <f>IF($C11='[2]4. Board Level Worksheet'!$C$5,'[2]4. Board Level Worksheet'!#REF!,"")</f>
        <v/>
      </c>
      <c r="P11" t="s">
        <v>154</v>
      </c>
      <c r="Q11" s="67">
        <v>452800</v>
      </c>
      <c r="R11" s="67">
        <v>452800</v>
      </c>
      <c r="S11" s="67">
        <v>264305</v>
      </c>
      <c r="T11" s="67">
        <v>45000</v>
      </c>
      <c r="U11" s="67">
        <v>103</v>
      </c>
      <c r="V11" s="67">
        <f t="shared" si="0"/>
        <v>103000</v>
      </c>
      <c r="W11" s="67">
        <v>266574</v>
      </c>
      <c r="X11" s="67">
        <v>207518</v>
      </c>
      <c r="Y11" s="66"/>
      <c r="Z11" s="66"/>
      <c r="AA11" s="66"/>
    </row>
    <row r="12" spans="1:31">
      <c r="A12">
        <v>10</v>
      </c>
      <c r="B12" s="89">
        <v>8</v>
      </c>
      <c r="C12" t="s">
        <v>155</v>
      </c>
      <c r="D12" s="15"/>
      <c r="E12" s="15"/>
      <c r="F12" s="15"/>
      <c r="G12" s="15"/>
      <c r="H12" s="15"/>
      <c r="I12" s="15"/>
      <c r="J12" s="15"/>
      <c r="K12" s="65" t="str">
        <f>IF($C12='[2]4. Board Level Worksheet'!$C$5,'[2]4. Board Level Worksheet'!$C$18,"")</f>
        <v/>
      </c>
      <c r="L12" s="65" t="str">
        <f>IF($C12='[2]4. Board Level Worksheet'!$C$5,'[2]4. Board Level Worksheet'!$C$19,"")</f>
        <v/>
      </c>
      <c r="M12" s="67" t="str">
        <f>IF($C12='[2]4. Board Level Worksheet'!$C$5,'[2]4. Board Level Worksheet'!$C$21,"")</f>
        <v/>
      </c>
      <c r="N12" s="67" t="str">
        <f>IF($C12='[2]4. Board Level Worksheet'!$C$5,'[2]4. Board Level Worksheet'!$C$28,"")</f>
        <v/>
      </c>
      <c r="O12" s="67" t="str">
        <f>IF($C12='[2]4. Board Level Worksheet'!$C$5,'[2]4. Board Level Worksheet'!#REF!,"")</f>
        <v/>
      </c>
      <c r="P12" t="s">
        <v>155</v>
      </c>
      <c r="Q12" s="67">
        <v>402900</v>
      </c>
      <c r="R12" s="67">
        <v>402900</v>
      </c>
      <c r="S12" s="67">
        <v>256236.00000000003</v>
      </c>
      <c r="T12" s="67">
        <v>34000</v>
      </c>
      <c r="U12" s="67">
        <v>62</v>
      </c>
      <c r="V12" s="67">
        <f t="shared" si="0"/>
        <v>62000</v>
      </c>
      <c r="W12" s="67">
        <v>237936</v>
      </c>
      <c r="X12" s="67">
        <v>186714</v>
      </c>
      <c r="Y12" s="66"/>
      <c r="Z12" s="66"/>
      <c r="AA12" s="66"/>
    </row>
    <row r="13" spans="1:31">
      <c r="A13">
        <v>11</v>
      </c>
      <c r="B13" s="89">
        <v>9</v>
      </c>
      <c r="C13" t="s">
        <v>156</v>
      </c>
      <c r="D13" s="15"/>
      <c r="E13" s="15"/>
      <c r="F13" s="15"/>
      <c r="G13" s="15"/>
      <c r="H13" s="15"/>
      <c r="I13" s="15"/>
      <c r="J13" s="15"/>
      <c r="K13" s="65" t="str">
        <f>IF($C13='[2]4. Board Level Worksheet'!$C$5,'[2]4. Board Level Worksheet'!$C$18,"")</f>
        <v/>
      </c>
      <c r="L13" s="65" t="str">
        <f>IF($C13='[2]4. Board Level Worksheet'!$C$5,'[2]4. Board Level Worksheet'!$C$19,"")</f>
        <v/>
      </c>
      <c r="M13" s="67" t="str">
        <f>IF($C13='[2]4. Board Level Worksheet'!$C$5,'[2]4. Board Level Worksheet'!$C$21,"")</f>
        <v/>
      </c>
      <c r="N13" s="67" t="str">
        <f>IF($C13='[2]4. Board Level Worksheet'!$C$5,'[2]4. Board Level Worksheet'!$C$28,"")</f>
        <v/>
      </c>
      <c r="O13" s="67" t="str">
        <f>IF($C13='[2]4. Board Level Worksheet'!$C$5,'[2]4. Board Level Worksheet'!#REF!,"")</f>
        <v/>
      </c>
      <c r="P13" t="s">
        <v>156</v>
      </c>
      <c r="Q13" s="67">
        <v>846400</v>
      </c>
      <c r="R13" s="67">
        <v>846400</v>
      </c>
      <c r="S13" s="67">
        <v>483008</v>
      </c>
      <c r="T13" s="67">
        <v>72000</v>
      </c>
      <c r="U13" s="67">
        <v>491</v>
      </c>
      <c r="V13" s="67">
        <f t="shared" si="0"/>
        <v>491000</v>
      </c>
      <c r="W13" s="67">
        <v>604347</v>
      </c>
      <c r="X13" s="67">
        <v>436073</v>
      </c>
      <c r="Y13" s="66"/>
      <c r="Z13" s="66"/>
      <c r="AA13" s="66"/>
    </row>
    <row r="14" spans="1:31">
      <c r="A14">
        <v>12</v>
      </c>
      <c r="B14" s="89">
        <v>10</v>
      </c>
      <c r="C14" t="s">
        <v>157</v>
      </c>
      <c r="D14" s="15"/>
      <c r="E14" s="15"/>
      <c r="F14" s="15"/>
      <c r="G14" s="15"/>
      <c r="H14" s="15"/>
      <c r="I14" s="15"/>
      <c r="J14" s="15"/>
      <c r="K14" s="65" t="str">
        <f>IF($C14='[2]4. Board Level Worksheet'!$C$5,'[2]4. Board Level Worksheet'!$C$18,"")</f>
        <v/>
      </c>
      <c r="L14" s="65" t="str">
        <f>IF($C14='[2]4. Board Level Worksheet'!$C$5,'[2]4. Board Level Worksheet'!$C$19,"")</f>
        <v/>
      </c>
      <c r="M14" s="67" t="str">
        <f>IF($C14='[2]4. Board Level Worksheet'!$C$5,'[2]4. Board Level Worksheet'!$C$21,"")</f>
        <v/>
      </c>
      <c r="N14" s="67" t="str">
        <f>IF($C14='[2]4. Board Level Worksheet'!$C$5,'[2]4. Board Level Worksheet'!$C$28,"")</f>
        <v/>
      </c>
      <c r="O14" s="67" t="str">
        <f>IF($C14='[2]4. Board Level Worksheet'!$C$5,'[2]4. Board Level Worksheet'!#REF!,"")</f>
        <v/>
      </c>
      <c r="P14" t="s">
        <v>157</v>
      </c>
      <c r="Q14" s="67">
        <v>678400</v>
      </c>
      <c r="R14" s="67">
        <v>678400</v>
      </c>
      <c r="S14" s="67">
        <v>321547</v>
      </c>
      <c r="T14" s="67">
        <v>51000</v>
      </c>
      <c r="U14" s="67">
        <v>320</v>
      </c>
      <c r="V14" s="67">
        <f t="shared" si="0"/>
        <v>320000</v>
      </c>
      <c r="W14" s="67">
        <v>747340</v>
      </c>
      <c r="X14" s="67">
        <v>519372</v>
      </c>
      <c r="Y14" s="66"/>
      <c r="Z14" s="66"/>
      <c r="AA14" s="66"/>
    </row>
    <row r="15" spans="1:31">
      <c r="A15">
        <v>13</v>
      </c>
      <c r="B15" s="89">
        <v>11</v>
      </c>
      <c r="C15" t="s">
        <v>158</v>
      </c>
      <c r="D15" s="15"/>
      <c r="E15" s="15"/>
      <c r="F15" s="15"/>
      <c r="G15" s="15"/>
      <c r="H15" s="15"/>
      <c r="I15" s="15"/>
      <c r="J15" s="15"/>
      <c r="K15" s="65" t="str">
        <f>IF($C15='[2]4. Board Level Worksheet'!$C$5,'[2]4. Board Level Worksheet'!$C$18,"")</f>
        <v/>
      </c>
      <c r="L15" s="65" t="str">
        <f>IF($C15='[2]4. Board Level Worksheet'!$C$5,'[2]4. Board Level Worksheet'!$C$19,"")</f>
        <v/>
      </c>
      <c r="M15" s="67" t="str">
        <f>IF($C15='[2]4. Board Level Worksheet'!$C$5,'[2]4. Board Level Worksheet'!$C$21,"")</f>
        <v/>
      </c>
      <c r="N15" s="67" t="str">
        <f>IF($C15='[2]4. Board Level Worksheet'!$C$5,'[2]4. Board Level Worksheet'!$C$28,"")</f>
        <v/>
      </c>
      <c r="O15" s="67" t="str">
        <f>IF($C15='[2]4. Board Level Worksheet'!$C$5,'[2]4. Board Level Worksheet'!#REF!,"")</f>
        <v/>
      </c>
      <c r="P15" t="s">
        <v>158</v>
      </c>
      <c r="Q15" s="67">
        <v>1810200</v>
      </c>
      <c r="R15" s="67">
        <v>1810200</v>
      </c>
      <c r="S15" s="67">
        <v>1146633</v>
      </c>
      <c r="T15" s="67">
        <v>201000</v>
      </c>
      <c r="U15" s="67">
        <v>630</v>
      </c>
      <c r="V15" s="67">
        <f t="shared" si="0"/>
        <v>630000</v>
      </c>
      <c r="W15" s="67">
        <v>1209330</v>
      </c>
      <c r="X15" s="67">
        <v>908973</v>
      </c>
      <c r="Y15" s="66"/>
      <c r="Z15" s="66"/>
      <c r="AA15" s="66"/>
    </row>
    <row r="16" spans="1:31">
      <c r="A16">
        <v>14</v>
      </c>
      <c r="B16" s="89">
        <v>12</v>
      </c>
      <c r="C16" t="s">
        <v>159</v>
      </c>
      <c r="D16" s="15"/>
      <c r="E16" s="15"/>
      <c r="F16" s="15"/>
      <c r="G16" s="15"/>
      <c r="H16" s="15"/>
      <c r="I16" s="15"/>
      <c r="J16" s="15"/>
      <c r="K16" s="65" t="str">
        <f>IF($C16='[2]4. Board Level Worksheet'!$C$5,'[2]4. Board Level Worksheet'!$C$18,"")</f>
        <v/>
      </c>
      <c r="L16" s="65" t="str">
        <f>IF($C16='[2]4. Board Level Worksheet'!$C$5,'[2]4. Board Level Worksheet'!$C$19,"")</f>
        <v/>
      </c>
      <c r="M16" s="67" t="str">
        <f>IF($C16='[2]4. Board Level Worksheet'!$C$5,'[2]4. Board Level Worksheet'!$C$21,"")</f>
        <v/>
      </c>
      <c r="N16" s="67" t="str">
        <f>IF($C16='[2]4. Board Level Worksheet'!$C$5,'[2]4. Board Level Worksheet'!$C$28,"")</f>
        <v/>
      </c>
      <c r="O16" s="67" t="str">
        <f>IF($C16='[2]4. Board Level Worksheet'!$C$5,'[2]4. Board Level Worksheet'!#REF!,"")</f>
        <v/>
      </c>
      <c r="P16" t="s">
        <v>159</v>
      </c>
      <c r="Q16" s="67">
        <v>6918600</v>
      </c>
      <c r="R16" s="67">
        <v>6918600</v>
      </c>
      <c r="S16" s="67">
        <v>3721149</v>
      </c>
      <c r="T16" s="67">
        <v>527000</v>
      </c>
      <c r="U16" s="67">
        <v>648</v>
      </c>
      <c r="V16" s="67">
        <f t="shared" si="0"/>
        <v>648000</v>
      </c>
      <c r="W16" s="67">
        <v>5823125</v>
      </c>
      <c r="X16" s="67">
        <v>3959828</v>
      </c>
      <c r="Y16" s="66"/>
      <c r="Z16" s="66"/>
      <c r="AA16" s="66"/>
    </row>
    <row r="17" spans="1:27">
      <c r="A17">
        <v>15</v>
      </c>
      <c r="B17" s="89">
        <v>13</v>
      </c>
      <c r="C17" t="s">
        <v>160</v>
      </c>
      <c r="D17" s="15"/>
      <c r="E17" s="15"/>
      <c r="F17" s="15"/>
      <c r="G17" s="15"/>
      <c r="H17" s="15"/>
      <c r="I17" s="15"/>
      <c r="J17" s="15"/>
      <c r="K17" s="65" t="str">
        <f>IF($C17='[2]4. Board Level Worksheet'!$C$5,'[2]4. Board Level Worksheet'!$C$18,"")</f>
        <v/>
      </c>
      <c r="L17" s="65" t="str">
        <f>IF($C17='[2]4. Board Level Worksheet'!$C$5,'[2]4. Board Level Worksheet'!$C$19,"")</f>
        <v/>
      </c>
      <c r="M17" s="67" t="str">
        <f>IF($C17='[2]4. Board Level Worksheet'!$C$5,'[2]4. Board Level Worksheet'!$C$21,"")</f>
        <v/>
      </c>
      <c r="N17" s="67" t="str">
        <f>IF($C17='[2]4. Board Level Worksheet'!$C$5,'[2]4. Board Level Worksheet'!$C$28,"")</f>
        <v/>
      </c>
      <c r="O17" s="67" t="str">
        <f>IF($C17='[2]4. Board Level Worksheet'!$C$5,'[2]4. Board Level Worksheet'!#REF!,"")</f>
        <v/>
      </c>
      <c r="P17" t="s">
        <v>160</v>
      </c>
      <c r="Q17" s="67">
        <v>1439500</v>
      </c>
      <c r="R17" s="67">
        <v>1439500</v>
      </c>
      <c r="S17" s="67">
        <v>999955</v>
      </c>
      <c r="T17" s="67">
        <v>171000</v>
      </c>
      <c r="U17" s="67">
        <v>311</v>
      </c>
      <c r="V17" s="67">
        <f t="shared" si="0"/>
        <v>311000</v>
      </c>
      <c r="W17" s="67">
        <v>899094</v>
      </c>
      <c r="X17" s="67">
        <v>671210</v>
      </c>
      <c r="Y17" s="66"/>
      <c r="Z17" s="66"/>
      <c r="AA17" s="66"/>
    </row>
    <row r="18" spans="1:27">
      <c r="A18">
        <v>16</v>
      </c>
      <c r="B18" s="89">
        <v>14</v>
      </c>
      <c r="C18" t="s">
        <v>161</v>
      </c>
      <c r="D18" s="15"/>
      <c r="E18" s="15"/>
      <c r="F18" s="15"/>
      <c r="G18" s="15"/>
      <c r="H18" s="15"/>
      <c r="I18" s="15"/>
      <c r="J18" s="15"/>
      <c r="K18" s="65" t="str">
        <f>IF($C18='[2]4. Board Level Worksheet'!$C$5,'[2]4. Board Level Worksheet'!$C$18,"")</f>
        <v/>
      </c>
      <c r="L18" s="65" t="str">
        <f>IF($C18='[2]4. Board Level Worksheet'!$C$5,'[2]4. Board Level Worksheet'!$C$19,"")</f>
        <v/>
      </c>
      <c r="M18" s="67" t="str">
        <f>IF($C18='[2]4. Board Level Worksheet'!$C$5,'[2]4. Board Level Worksheet'!$C$21,"")</f>
        <v/>
      </c>
      <c r="N18" s="67" t="str">
        <f>IF($C18='[2]4. Board Level Worksheet'!$C$5,'[2]4. Board Level Worksheet'!$C$28,"")</f>
        <v/>
      </c>
      <c r="O18" s="67" t="str">
        <f>IF($C18='[2]4. Board Level Worksheet'!$C$5,'[2]4. Board Level Worksheet'!#REF!,"")</f>
        <v/>
      </c>
      <c r="P18" t="s">
        <v>161</v>
      </c>
      <c r="Q18" s="67">
        <v>882200</v>
      </c>
      <c r="R18" s="67">
        <v>882200</v>
      </c>
      <c r="S18" s="67">
        <v>479017</v>
      </c>
      <c r="T18" s="67">
        <v>78000</v>
      </c>
      <c r="U18" s="67">
        <v>933</v>
      </c>
      <c r="V18" s="67">
        <f t="shared" si="0"/>
        <v>933000</v>
      </c>
      <c r="W18" s="67">
        <v>832483</v>
      </c>
      <c r="X18" s="67">
        <v>582178</v>
      </c>
      <c r="Y18" s="66"/>
      <c r="Z18" s="66"/>
      <c r="AA18" s="66"/>
    </row>
    <row r="19" spans="1:27">
      <c r="A19">
        <v>17</v>
      </c>
      <c r="B19" s="89">
        <v>15</v>
      </c>
      <c r="C19" t="s">
        <v>162</v>
      </c>
      <c r="D19" s="15"/>
      <c r="E19" s="15"/>
      <c r="F19" s="15"/>
      <c r="G19" s="15"/>
      <c r="H19" s="15"/>
      <c r="I19" s="15"/>
      <c r="J19" s="15"/>
      <c r="K19" s="65" t="str">
        <f>IF($C19='[2]4. Board Level Worksheet'!$C$5,'[2]4. Board Level Worksheet'!$C$18,"")</f>
        <v/>
      </c>
      <c r="L19" s="65" t="str">
        <f>IF($C19='[2]4. Board Level Worksheet'!$C$5,'[2]4. Board Level Worksheet'!$C$19,"")</f>
        <v/>
      </c>
      <c r="M19" s="67" t="str">
        <f>IF($C19='[2]4. Board Level Worksheet'!$C$5,'[2]4. Board Level Worksheet'!$C$21,"")</f>
        <v/>
      </c>
      <c r="N19" s="67" t="str">
        <f>IF($C19='[2]4. Board Level Worksheet'!$C$5,'[2]4. Board Level Worksheet'!$C$28,"")</f>
        <v/>
      </c>
      <c r="O19" s="67" t="str">
        <f>IF($C19='[2]4. Board Level Worksheet'!$C$5,'[2]4. Board Level Worksheet'!#REF!,"")</f>
        <v/>
      </c>
      <c r="P19" t="s">
        <v>162</v>
      </c>
      <c r="Q19" s="67">
        <v>532000</v>
      </c>
      <c r="R19" s="67">
        <v>532000</v>
      </c>
      <c r="S19" s="67">
        <v>267472</v>
      </c>
      <c r="T19" s="67">
        <v>35000</v>
      </c>
      <c r="U19" s="67">
        <v>768</v>
      </c>
      <c r="V19" s="67">
        <f t="shared" si="0"/>
        <v>768000</v>
      </c>
      <c r="W19" s="67">
        <v>509333</v>
      </c>
      <c r="X19" s="67">
        <v>357261</v>
      </c>
      <c r="Y19" s="66"/>
      <c r="Z19" s="66"/>
      <c r="AA19" s="66"/>
    </row>
    <row r="20" spans="1:27">
      <c r="A20">
        <v>18</v>
      </c>
      <c r="B20" s="89">
        <v>16</v>
      </c>
      <c r="C20" t="s">
        <v>163</v>
      </c>
      <c r="D20" s="15"/>
      <c r="E20" s="15"/>
      <c r="F20" s="15"/>
      <c r="G20" s="15"/>
      <c r="H20" s="15"/>
      <c r="I20" s="15"/>
      <c r="J20" s="15"/>
      <c r="K20" s="65" t="str">
        <f>IF($C20='[2]4. Board Level Worksheet'!$C$5,'[2]4. Board Level Worksheet'!$C$18,"")</f>
        <v/>
      </c>
      <c r="L20" s="65" t="str">
        <f>IF($C20='[2]4. Board Level Worksheet'!$C$5,'[2]4. Board Level Worksheet'!$C$19,"")</f>
        <v/>
      </c>
      <c r="M20" s="67" t="str">
        <f>IF($C20='[2]4. Board Level Worksheet'!$C$5,'[2]4. Board Level Worksheet'!$C$21,"")</f>
        <v/>
      </c>
      <c r="N20" s="67" t="str">
        <f>IF($C20='[2]4. Board Level Worksheet'!$C$5,'[2]4. Board Level Worksheet'!$C$28,"")</f>
        <v/>
      </c>
      <c r="O20" s="67" t="str">
        <f>IF($C20='[2]4. Board Level Worksheet'!$C$5,'[2]4. Board Level Worksheet'!#REF!,"")</f>
        <v/>
      </c>
      <c r="P20" t="s">
        <v>163</v>
      </c>
      <c r="Q20" s="67">
        <v>2588000</v>
      </c>
      <c r="R20" s="67">
        <v>2588000</v>
      </c>
      <c r="S20" s="67">
        <v>1696047</v>
      </c>
      <c r="T20" s="67">
        <v>282000</v>
      </c>
      <c r="U20" s="67">
        <v>497</v>
      </c>
      <c r="V20" s="67">
        <f t="shared" si="0"/>
        <v>497000</v>
      </c>
      <c r="W20" s="67">
        <v>1276193</v>
      </c>
      <c r="X20" s="67">
        <v>993290</v>
      </c>
      <c r="Y20" s="66"/>
      <c r="Z20" s="66"/>
      <c r="AA20" s="66"/>
    </row>
    <row r="21" spans="1:27">
      <c r="A21">
        <v>19</v>
      </c>
      <c r="B21" s="89">
        <v>17</v>
      </c>
      <c r="C21" t="s">
        <v>164</v>
      </c>
      <c r="D21" s="15"/>
      <c r="E21" s="15"/>
      <c r="F21" s="15"/>
      <c r="G21" s="15"/>
      <c r="H21" s="15"/>
      <c r="I21" s="15"/>
      <c r="J21" s="15"/>
      <c r="K21" s="65" t="str">
        <f>IF($C21='[2]4. Board Level Worksheet'!$C$5,'[2]4. Board Level Worksheet'!$C$18,"")</f>
        <v/>
      </c>
      <c r="L21" s="65" t="str">
        <f>IF($C21='[2]4. Board Level Worksheet'!$C$5,'[2]4. Board Level Worksheet'!$C$19,"")</f>
        <v/>
      </c>
      <c r="M21" s="67" t="str">
        <f>IF($C21='[2]4. Board Level Worksheet'!$C$5,'[2]4. Board Level Worksheet'!$C$21,"")</f>
        <v/>
      </c>
      <c r="N21" s="67" t="str">
        <f>IF($C21='[2]4. Board Level Worksheet'!$C$5,'[2]4. Board Level Worksheet'!$C$28,"")</f>
        <v/>
      </c>
      <c r="O21" s="67" t="str">
        <f>IF($C21='[2]4. Board Level Worksheet'!$C$5,'[2]4. Board Level Worksheet'!#REF!,"")</f>
        <v/>
      </c>
      <c r="P21" t="s">
        <v>164</v>
      </c>
      <c r="Q21" s="67">
        <v>1078400</v>
      </c>
      <c r="R21" s="67">
        <v>1078400</v>
      </c>
      <c r="S21" s="67">
        <v>718543</v>
      </c>
      <c r="T21" s="67">
        <v>123000</v>
      </c>
      <c r="U21" s="67">
        <v>149</v>
      </c>
      <c r="V21" s="67">
        <f t="shared" si="0"/>
        <v>149000</v>
      </c>
      <c r="W21" s="67">
        <v>499402</v>
      </c>
      <c r="X21" s="67">
        <v>417881</v>
      </c>
      <c r="Y21" s="66"/>
      <c r="Z21" s="66"/>
      <c r="AA21" s="66"/>
    </row>
    <row r="22" spans="1:27">
      <c r="A22">
        <v>20</v>
      </c>
      <c r="B22" s="89">
        <v>18</v>
      </c>
      <c r="C22" t="s">
        <v>165</v>
      </c>
      <c r="D22" s="15"/>
      <c r="E22" s="15"/>
      <c r="F22" s="15"/>
      <c r="G22" s="15"/>
      <c r="H22" s="15"/>
      <c r="I22" s="15"/>
      <c r="J22" s="15"/>
      <c r="K22" s="65" t="str">
        <f>IF($C22='[2]4. Board Level Worksheet'!$C$5,'[2]4. Board Level Worksheet'!$C$18,"")</f>
        <v/>
      </c>
      <c r="L22" s="65" t="str">
        <f>IF($C22='[2]4. Board Level Worksheet'!$C$5,'[2]4. Board Level Worksheet'!$C$19,"")</f>
        <v/>
      </c>
      <c r="M22" s="67" t="str">
        <f>IF($C22='[2]4. Board Level Worksheet'!$C$5,'[2]4. Board Level Worksheet'!$C$21,"")</f>
        <v/>
      </c>
      <c r="N22" s="67" t="str">
        <f>IF($C22='[2]4. Board Level Worksheet'!$C$5,'[2]4. Board Level Worksheet'!$C$28,"")</f>
        <v/>
      </c>
      <c r="O22" s="67" t="str">
        <f>IF($C22='[2]4. Board Level Worksheet'!$C$5,'[2]4. Board Level Worksheet'!#REF!,"")</f>
        <v/>
      </c>
      <c r="P22" t="s">
        <v>165</v>
      </c>
      <c r="Q22" s="67">
        <v>845000</v>
      </c>
      <c r="R22" s="67">
        <v>845000</v>
      </c>
      <c r="S22" s="67">
        <v>485608</v>
      </c>
      <c r="T22" s="67">
        <v>91000</v>
      </c>
      <c r="U22" s="67">
        <v>262</v>
      </c>
      <c r="V22" s="67">
        <f t="shared" si="0"/>
        <v>262000</v>
      </c>
      <c r="W22" s="67">
        <v>492669</v>
      </c>
      <c r="X22" s="67">
        <v>375544</v>
      </c>
      <c r="Y22" s="66"/>
      <c r="Z22" s="66"/>
      <c r="AA22" s="66"/>
    </row>
    <row r="23" spans="1:27">
      <c r="A23">
        <v>21</v>
      </c>
      <c r="B23" s="89">
        <v>19</v>
      </c>
      <c r="C23" t="s">
        <v>166</v>
      </c>
      <c r="D23" s="15"/>
      <c r="E23" s="15"/>
      <c r="F23" s="15"/>
      <c r="G23" s="15"/>
      <c r="H23" s="15"/>
      <c r="I23" s="15"/>
      <c r="J23" s="15"/>
      <c r="K23" s="65" t="str">
        <f>IF($C23='[2]4. Board Level Worksheet'!$C$5,'[2]4. Board Level Worksheet'!$C$18,"")</f>
        <v/>
      </c>
      <c r="L23" s="65" t="str">
        <f>IF($C23='[2]4. Board Level Worksheet'!$C$5,'[2]4. Board Level Worksheet'!$C$19,"")</f>
        <v/>
      </c>
      <c r="M23" s="67" t="str">
        <f>IF($C23='[2]4. Board Level Worksheet'!$C$5,'[2]4. Board Level Worksheet'!$C$21,"")</f>
        <v/>
      </c>
      <c r="N23" s="67" t="str">
        <f>IF($C23='[2]4. Board Level Worksheet'!$C$5,'[2]4. Board Level Worksheet'!$C$28,"")</f>
        <v/>
      </c>
      <c r="O23" s="67" t="str">
        <f>IF($C23='[2]4. Board Level Worksheet'!$C$5,'[2]4. Board Level Worksheet'!#REF!,"")</f>
        <v/>
      </c>
      <c r="P23" t="s">
        <v>166</v>
      </c>
      <c r="Q23" s="67">
        <v>2991300</v>
      </c>
      <c r="R23" s="67">
        <v>2991300</v>
      </c>
      <c r="S23" s="67">
        <v>2033872.0000000002</v>
      </c>
      <c r="T23" s="67">
        <v>417000</v>
      </c>
      <c r="U23" s="67">
        <v>1462</v>
      </c>
      <c r="V23" s="67">
        <f t="shared" si="0"/>
        <v>1462000</v>
      </c>
      <c r="W23" s="67">
        <v>1892163</v>
      </c>
      <c r="X23" s="67">
        <v>1359560</v>
      </c>
      <c r="Y23" s="66"/>
      <c r="Z23" s="66"/>
      <c r="AA23" s="66"/>
    </row>
    <row r="24" spans="1:27">
      <c r="A24">
        <v>22</v>
      </c>
      <c r="B24" s="89">
        <v>20</v>
      </c>
      <c r="C24" t="s">
        <v>167</v>
      </c>
      <c r="D24" s="15"/>
      <c r="E24" s="15"/>
      <c r="F24" s="15"/>
      <c r="G24" s="15"/>
      <c r="H24" s="15"/>
      <c r="I24" s="15"/>
      <c r="J24" s="15"/>
      <c r="K24" s="65" t="str">
        <f>IF($C24='[2]4. Board Level Worksheet'!$C$5,'[2]4. Board Level Worksheet'!$C$18,"")</f>
        <v/>
      </c>
      <c r="L24" s="65" t="str">
        <f>IF($C24='[2]4. Board Level Worksheet'!$C$5,'[2]4. Board Level Worksheet'!$C$19,"")</f>
        <v/>
      </c>
      <c r="M24" s="67" t="str">
        <f>IF($C24='[2]4. Board Level Worksheet'!$C$5,'[2]4. Board Level Worksheet'!$C$21,"")</f>
        <v/>
      </c>
      <c r="N24" s="67" t="str">
        <f>IF($C24='[2]4. Board Level Worksheet'!$C$5,'[2]4. Board Level Worksheet'!$C$28,"")</f>
        <v/>
      </c>
      <c r="O24" s="67" t="str">
        <f>IF($C24='[2]4. Board Level Worksheet'!$C$5,'[2]4. Board Level Worksheet'!#REF!,"")</f>
        <v/>
      </c>
      <c r="P24" t="s">
        <v>167</v>
      </c>
      <c r="Q24" s="67">
        <v>1239500</v>
      </c>
      <c r="R24" s="67">
        <v>1239500</v>
      </c>
      <c r="S24" s="67">
        <v>884175</v>
      </c>
      <c r="T24" s="67">
        <v>155000</v>
      </c>
      <c r="U24" s="67">
        <v>1045</v>
      </c>
      <c r="V24" s="67">
        <f t="shared" si="0"/>
        <v>1045000</v>
      </c>
      <c r="W24" s="67">
        <v>842069</v>
      </c>
      <c r="X24" s="67">
        <v>626331</v>
      </c>
      <c r="Y24" s="66"/>
      <c r="Z24" s="66"/>
      <c r="AA24" s="66"/>
    </row>
    <row r="25" spans="1:27">
      <c r="A25">
        <v>23</v>
      </c>
      <c r="B25" s="89">
        <v>21</v>
      </c>
      <c r="C25" t="s">
        <v>168</v>
      </c>
      <c r="D25" s="15"/>
      <c r="E25" s="15"/>
      <c r="F25" s="15"/>
      <c r="G25" s="15"/>
      <c r="H25" s="15"/>
      <c r="I25" s="15"/>
      <c r="J25" s="15"/>
      <c r="K25" s="65" t="str">
        <f>IF($C25='[2]4. Board Level Worksheet'!$C$5,'[2]4. Board Level Worksheet'!$C$18,"")</f>
        <v/>
      </c>
      <c r="L25" s="65" t="str">
        <f>IF($C25='[2]4. Board Level Worksheet'!$C$5,'[2]4. Board Level Worksheet'!$C$19,"")</f>
        <v/>
      </c>
      <c r="M25" s="67" t="str">
        <f>IF($C25='[2]4. Board Level Worksheet'!$C$5,'[2]4. Board Level Worksheet'!$C$21,"")</f>
        <v/>
      </c>
      <c r="N25" s="67" t="str">
        <f>IF($C25='[2]4. Board Level Worksheet'!$C$5,'[2]4. Board Level Worksheet'!$C$28,"")</f>
        <v/>
      </c>
      <c r="O25" s="67" t="str">
        <f>IF($C25='[2]4. Board Level Worksheet'!$C$5,'[2]4. Board Level Worksheet'!#REF!,"")</f>
        <v/>
      </c>
      <c r="P25" t="s">
        <v>168</v>
      </c>
      <c r="Q25" s="67">
        <v>1162000</v>
      </c>
      <c r="R25" s="67">
        <v>1162000</v>
      </c>
      <c r="S25" s="67">
        <v>673025</v>
      </c>
      <c r="T25" s="67">
        <v>120000</v>
      </c>
      <c r="U25" s="67">
        <v>794</v>
      </c>
      <c r="V25" s="67">
        <f t="shared" si="0"/>
        <v>794000</v>
      </c>
      <c r="W25" s="67">
        <v>793548</v>
      </c>
      <c r="X25" s="67">
        <v>611145</v>
      </c>
      <c r="Y25" s="66"/>
      <c r="Z25" s="66"/>
      <c r="AA25" s="66"/>
    </row>
    <row r="26" spans="1:27">
      <c r="A26">
        <v>24</v>
      </c>
      <c r="B26" s="89">
        <v>22</v>
      </c>
      <c r="C26" t="s">
        <v>169</v>
      </c>
      <c r="D26" s="15"/>
      <c r="E26" s="15"/>
      <c r="F26" s="15"/>
      <c r="G26" s="15"/>
      <c r="H26" s="15"/>
      <c r="I26" s="15"/>
      <c r="J26" s="15"/>
      <c r="K26" s="65" t="str">
        <f>IF($C26='[2]4. Board Level Worksheet'!$C$5,'[2]4. Board Level Worksheet'!$C$18,"")</f>
        <v/>
      </c>
      <c r="L26" s="65" t="str">
        <f>IF($C26='[2]4. Board Level Worksheet'!$C$5,'[2]4. Board Level Worksheet'!$C$19,"")</f>
        <v/>
      </c>
      <c r="M26" s="67" t="str">
        <f>IF($C26='[2]4. Board Level Worksheet'!$C$5,'[2]4. Board Level Worksheet'!$C$21,"")</f>
        <v/>
      </c>
      <c r="N26" s="67" t="str">
        <f>IF($C26='[2]4. Board Level Worksheet'!$C$5,'[2]4. Board Level Worksheet'!$C$28,"")</f>
        <v/>
      </c>
      <c r="O26" s="67" t="str">
        <f>IF($C26='[2]4. Board Level Worksheet'!$C$5,'[2]4. Board Level Worksheet'!#REF!,"")</f>
        <v/>
      </c>
      <c r="P26" t="s">
        <v>169</v>
      </c>
      <c r="Q26" s="67">
        <v>1019300</v>
      </c>
      <c r="R26" s="67">
        <v>1019300</v>
      </c>
      <c r="S26" s="67">
        <v>538014</v>
      </c>
      <c r="T26" s="67">
        <v>69000</v>
      </c>
      <c r="U26" s="67">
        <v>428</v>
      </c>
      <c r="V26" s="67">
        <f t="shared" si="0"/>
        <v>428000</v>
      </c>
      <c r="W26" s="67">
        <v>810095</v>
      </c>
      <c r="X26" s="67">
        <v>594963</v>
      </c>
      <c r="Y26" s="66"/>
      <c r="Z26" s="66"/>
      <c r="AA26" s="66"/>
    </row>
    <row r="27" spans="1:27">
      <c r="A27">
        <v>25</v>
      </c>
      <c r="B27" s="89">
        <v>23</v>
      </c>
      <c r="C27" t="s">
        <v>170</v>
      </c>
      <c r="D27" s="15"/>
      <c r="E27" s="15"/>
      <c r="F27" s="15"/>
      <c r="G27" s="15"/>
      <c r="H27" s="15"/>
      <c r="I27" s="15"/>
      <c r="J27" s="15"/>
      <c r="K27" s="65" t="str">
        <f>IF($C27='[2]4. Board Level Worksheet'!$C$5,'[2]4. Board Level Worksheet'!$C$18,"")</f>
        <v/>
      </c>
      <c r="L27" s="65" t="str">
        <f>IF($C27='[2]4. Board Level Worksheet'!$C$5,'[2]4. Board Level Worksheet'!$C$19,"")</f>
        <v/>
      </c>
      <c r="M27" s="67" t="str">
        <f>IF($C27='[2]4. Board Level Worksheet'!$C$5,'[2]4. Board Level Worksheet'!$C$21,"")</f>
        <v/>
      </c>
      <c r="N27" s="67" t="str">
        <f>IF($C27='[2]4. Board Level Worksheet'!$C$5,'[2]4. Board Level Worksheet'!$C$28,"")</f>
        <v/>
      </c>
      <c r="O27" s="67" t="str">
        <f>IF($C27='[2]4. Board Level Worksheet'!$C$5,'[2]4. Board Level Worksheet'!#REF!,"")</f>
        <v/>
      </c>
      <c r="P27" t="s">
        <v>170</v>
      </c>
      <c r="Q27" s="67">
        <v>764100</v>
      </c>
      <c r="R27" s="67">
        <v>764100</v>
      </c>
      <c r="S27" s="67">
        <v>367275</v>
      </c>
      <c r="T27" s="67">
        <v>67000</v>
      </c>
      <c r="U27" s="67">
        <v>765</v>
      </c>
      <c r="V27" s="67">
        <f t="shared" si="0"/>
        <v>765000</v>
      </c>
      <c r="W27" s="67">
        <v>827338</v>
      </c>
      <c r="X27" s="67">
        <v>538674</v>
      </c>
      <c r="Y27" s="66"/>
      <c r="Z27" s="66"/>
      <c r="AA27" s="66"/>
    </row>
    <row r="28" spans="1:27">
      <c r="A28">
        <v>26</v>
      </c>
      <c r="B28" s="89">
        <v>24</v>
      </c>
      <c r="C28" t="s">
        <v>171</v>
      </c>
      <c r="D28" s="15"/>
      <c r="E28" s="15"/>
      <c r="F28" s="15"/>
      <c r="G28" s="15"/>
      <c r="H28" s="15"/>
      <c r="I28" s="15"/>
      <c r="J28" s="15"/>
      <c r="K28" s="65" t="str">
        <f>IF($C28='[2]4. Board Level Worksheet'!$C$5,'[2]4. Board Level Worksheet'!$C$18,"")</f>
        <v/>
      </c>
      <c r="L28" s="65" t="str">
        <f>IF($C28='[2]4. Board Level Worksheet'!$C$5,'[2]4. Board Level Worksheet'!$C$19,"")</f>
        <v/>
      </c>
      <c r="M28" s="67" t="str">
        <f>IF($C28='[2]4. Board Level Worksheet'!$C$5,'[2]4. Board Level Worksheet'!$C$21,"")</f>
        <v/>
      </c>
      <c r="N28" s="67" t="str">
        <f>IF($C28='[2]4. Board Level Worksheet'!$C$5,'[2]4. Board Level Worksheet'!$C$28,"")</f>
        <v/>
      </c>
      <c r="O28" s="67" t="str">
        <f>IF($C28='[2]4. Board Level Worksheet'!$C$5,'[2]4. Board Level Worksheet'!#REF!,"")</f>
        <v/>
      </c>
      <c r="P28" t="s">
        <v>171</v>
      </c>
      <c r="Q28" s="67">
        <v>1467400</v>
      </c>
      <c r="R28" s="67">
        <v>1467400</v>
      </c>
      <c r="S28" s="67">
        <v>863236</v>
      </c>
      <c r="T28" s="67">
        <v>156000</v>
      </c>
      <c r="U28" s="67">
        <v>331</v>
      </c>
      <c r="V28" s="67">
        <f t="shared" si="0"/>
        <v>331000</v>
      </c>
      <c r="W28" s="67">
        <v>1034771</v>
      </c>
      <c r="X28" s="67">
        <v>710793</v>
      </c>
      <c r="Y28" s="66"/>
      <c r="Z28" s="66"/>
      <c r="AA28" s="66"/>
    </row>
    <row r="29" spans="1:27">
      <c r="A29">
        <v>27</v>
      </c>
      <c r="B29" s="89">
        <v>25</v>
      </c>
      <c r="C29" t="s">
        <v>172</v>
      </c>
      <c r="D29" s="15"/>
      <c r="E29" s="15"/>
      <c r="F29" s="15"/>
      <c r="G29" s="15"/>
      <c r="H29" s="15"/>
      <c r="I29" s="15"/>
      <c r="J29" s="15"/>
      <c r="K29" s="65" t="str">
        <f>IF($C29='[2]4. Board Level Worksheet'!$C$5,'[2]4. Board Level Worksheet'!$C$18,"")</f>
        <v/>
      </c>
      <c r="L29" s="65" t="str">
        <f>IF($C29='[2]4. Board Level Worksheet'!$C$5,'[2]4. Board Level Worksheet'!$C$19,"")</f>
        <v/>
      </c>
      <c r="M29" s="67" t="str">
        <f>IF($C29='[2]4. Board Level Worksheet'!$C$5,'[2]4. Board Level Worksheet'!$C$21,"")</f>
        <v/>
      </c>
      <c r="N29" s="67" t="str">
        <f>IF($C29='[2]4. Board Level Worksheet'!$C$5,'[2]4. Board Level Worksheet'!$C$28,"")</f>
        <v/>
      </c>
      <c r="O29" s="67" t="str">
        <f>IF($C29='[2]4. Board Level Worksheet'!$C$5,'[2]4. Board Level Worksheet'!#REF!,"")</f>
        <v/>
      </c>
      <c r="P29" t="s">
        <v>172</v>
      </c>
      <c r="Q29" s="67">
        <v>1681500</v>
      </c>
      <c r="R29" s="67">
        <v>1681500</v>
      </c>
      <c r="S29" s="67">
        <v>1073366</v>
      </c>
      <c r="T29" s="67">
        <v>161000</v>
      </c>
      <c r="U29" s="67">
        <v>780</v>
      </c>
      <c r="V29" s="67">
        <f t="shared" si="0"/>
        <v>780000</v>
      </c>
      <c r="W29" s="67">
        <v>968614</v>
      </c>
      <c r="X29" s="67">
        <v>739548</v>
      </c>
      <c r="Y29" s="66"/>
      <c r="Z29" s="66"/>
      <c r="AA29" s="66"/>
    </row>
    <row r="30" spans="1:27">
      <c r="A30">
        <v>28</v>
      </c>
      <c r="B30" s="89">
        <v>26</v>
      </c>
      <c r="C30" t="s">
        <v>173</v>
      </c>
      <c r="D30" s="15"/>
      <c r="E30" s="15"/>
      <c r="F30" s="15"/>
      <c r="G30" s="15"/>
      <c r="H30" s="15"/>
      <c r="I30" s="15"/>
      <c r="J30" s="15"/>
      <c r="K30" s="65" t="str">
        <f>IF($C30='[2]4. Board Level Worksheet'!$C$5,'[2]4. Board Level Worksheet'!$C$18,"")</f>
        <v/>
      </c>
      <c r="L30" s="65" t="str">
        <f>IF($C30='[2]4. Board Level Worksheet'!$C$5,'[2]4. Board Level Worksheet'!$C$19,"")</f>
        <v/>
      </c>
      <c r="M30" s="67" t="str">
        <f>IF($C30='[2]4. Board Level Worksheet'!$C$5,'[2]4. Board Level Worksheet'!$C$21,"")</f>
        <v/>
      </c>
      <c r="N30" s="67" t="str">
        <f>IF($C30='[2]4. Board Level Worksheet'!$C$5,'[2]4. Board Level Worksheet'!$C$28,"")</f>
        <v/>
      </c>
      <c r="O30" s="67" t="str">
        <f>IF($C30='[2]4. Board Level Worksheet'!$C$5,'[2]4. Board Level Worksheet'!#REF!,"")</f>
        <v/>
      </c>
      <c r="P30" t="s">
        <v>173</v>
      </c>
      <c r="Q30" s="67">
        <v>860700</v>
      </c>
      <c r="R30" s="67">
        <v>860700</v>
      </c>
      <c r="S30" s="67">
        <v>438959</v>
      </c>
      <c r="T30" s="67">
        <v>58000</v>
      </c>
      <c r="U30" s="67">
        <v>147</v>
      </c>
      <c r="V30" s="67">
        <f t="shared" si="0"/>
        <v>147000</v>
      </c>
      <c r="W30" s="67">
        <v>541141</v>
      </c>
      <c r="X30" s="67">
        <v>419649</v>
      </c>
      <c r="Y30" s="66"/>
      <c r="Z30" s="66"/>
      <c r="AA30" s="66"/>
    </row>
    <row r="31" spans="1:27">
      <c r="A31">
        <v>29</v>
      </c>
      <c r="B31" s="89">
        <v>27</v>
      </c>
      <c r="C31" t="s">
        <v>174</v>
      </c>
      <c r="D31" s="15"/>
      <c r="E31" s="15"/>
      <c r="F31" s="15"/>
      <c r="G31" s="15"/>
      <c r="H31" s="15"/>
      <c r="I31" s="15"/>
      <c r="J31" s="15"/>
      <c r="K31" s="65" t="str">
        <f>IF($C31='[2]4. Board Level Worksheet'!$C$5,'[2]4. Board Level Worksheet'!$C$18,"")</f>
        <v/>
      </c>
      <c r="L31" s="65" t="str">
        <f>IF($C31='[2]4. Board Level Worksheet'!$C$5,'[2]4. Board Level Worksheet'!$C$19,"")</f>
        <v/>
      </c>
      <c r="M31" s="67" t="str">
        <f>IF($C31='[2]4. Board Level Worksheet'!$C$5,'[2]4. Board Level Worksheet'!$C$21,"")</f>
        <v/>
      </c>
      <c r="N31" s="67" t="str">
        <f>IF($C31='[2]4. Board Level Worksheet'!$C$5,'[2]4. Board Level Worksheet'!$C$28,"")</f>
        <v/>
      </c>
      <c r="O31" s="67" t="str">
        <f>IF($C31='[2]4. Board Level Worksheet'!$C$5,'[2]4. Board Level Worksheet'!#REF!,"")</f>
        <v/>
      </c>
      <c r="P31" t="s">
        <v>174</v>
      </c>
      <c r="Q31" s="67">
        <v>568100</v>
      </c>
      <c r="R31" s="67">
        <v>568100</v>
      </c>
      <c r="S31" s="67">
        <v>313965</v>
      </c>
      <c r="T31" s="67">
        <v>49000</v>
      </c>
      <c r="U31" s="67">
        <v>820</v>
      </c>
      <c r="V31" s="67">
        <f t="shared" si="0"/>
        <v>820000</v>
      </c>
      <c r="W31" s="67">
        <v>722400</v>
      </c>
      <c r="X31" s="67">
        <v>538440</v>
      </c>
      <c r="Y31" s="66"/>
      <c r="Z31" s="66"/>
      <c r="AA31" s="66"/>
    </row>
    <row r="32" spans="1:27">
      <c r="A32">
        <v>30</v>
      </c>
      <c r="B32" s="89">
        <v>28</v>
      </c>
      <c r="C32" t="s">
        <v>175</v>
      </c>
      <c r="D32" s="15"/>
      <c r="E32" s="15"/>
      <c r="F32" s="15"/>
      <c r="G32" s="15"/>
      <c r="H32" s="15"/>
      <c r="I32" s="15"/>
      <c r="J32" s="15"/>
      <c r="K32" s="65" t="str">
        <f>IF($C32='[2]4. Board Level Worksheet'!$C$5,'[2]4. Board Level Worksheet'!$C$18,"")</f>
        <v/>
      </c>
      <c r="L32" s="65" t="str">
        <f>IF($C32='[2]4. Board Level Worksheet'!$C$5,'[2]4. Board Level Worksheet'!$C$19,"")</f>
        <v/>
      </c>
      <c r="M32" s="67" t="str">
        <f>IF($C32='[2]4. Board Level Worksheet'!$C$5,'[2]4. Board Level Worksheet'!$C$21,"")</f>
        <v/>
      </c>
      <c r="N32" s="67" t="str">
        <f>IF($C32='[2]4. Board Level Worksheet'!$C$5,'[2]4. Board Level Worksheet'!$C$28,"")</f>
        <v/>
      </c>
      <c r="O32" s="67" t="str">
        <f>IF($C32='[2]4. Board Level Worksheet'!$C$5,'[2]4. Board Level Worksheet'!#REF!,"")</f>
        <v/>
      </c>
      <c r="P32" t="s">
        <v>175</v>
      </c>
      <c r="Q32" s="67">
        <v>284900</v>
      </c>
      <c r="R32" s="67">
        <v>284900</v>
      </c>
      <c r="S32" s="67">
        <v>172559</v>
      </c>
      <c r="T32" s="67">
        <v>21000</v>
      </c>
      <c r="U32" s="67">
        <v>63</v>
      </c>
      <c r="V32" s="67">
        <f t="shared" si="0"/>
        <v>63000</v>
      </c>
      <c r="W32" s="67">
        <v>187020</v>
      </c>
      <c r="X32" s="67">
        <v>137918</v>
      </c>
      <c r="Y32" s="66"/>
      <c r="Z32" s="66"/>
      <c r="AA32" s="66"/>
    </row>
    <row r="33" spans="1:27">
      <c r="A33">
        <v>31</v>
      </c>
      <c r="B33" s="89">
        <v>29</v>
      </c>
      <c r="C33" t="s">
        <v>176</v>
      </c>
      <c r="D33" s="15"/>
      <c r="E33" s="15"/>
      <c r="F33" s="15"/>
      <c r="G33" s="15"/>
      <c r="H33" s="15"/>
      <c r="I33" s="15"/>
      <c r="J33" s="15"/>
      <c r="K33" s="65" t="str">
        <f>IF($C33='[2]4. Board Level Worksheet'!$C$5,'[2]4. Board Level Worksheet'!$C$18,"")</f>
        <v/>
      </c>
      <c r="L33" s="65" t="str">
        <f>IF($C33='[2]4. Board Level Worksheet'!$C$5,'[2]4. Board Level Worksheet'!$C$19,"")</f>
        <v/>
      </c>
      <c r="M33" s="67" t="str">
        <f>IF($C33='[2]4. Board Level Worksheet'!$C$5,'[2]4. Board Level Worksheet'!$C$21,"")</f>
        <v/>
      </c>
      <c r="N33" s="67" t="str">
        <f>IF($C33='[2]4. Board Level Worksheet'!$C$5,'[2]4. Board Level Worksheet'!$C$28,"")</f>
        <v/>
      </c>
      <c r="O33" s="67" t="str">
        <f>IF($C33='[2]4. Board Level Worksheet'!$C$5,'[2]4. Board Level Worksheet'!#REF!,"")</f>
        <v/>
      </c>
      <c r="P33" t="s">
        <v>176</v>
      </c>
      <c r="Q33" s="67">
        <v>447100</v>
      </c>
      <c r="R33" s="67">
        <v>447100</v>
      </c>
      <c r="S33" s="67">
        <v>250077</v>
      </c>
      <c r="T33" s="67">
        <v>38000</v>
      </c>
      <c r="U33" s="67">
        <v>199</v>
      </c>
      <c r="V33" s="67">
        <f t="shared" si="0"/>
        <v>199000</v>
      </c>
      <c r="W33" s="67">
        <v>288292</v>
      </c>
      <c r="X33" s="67">
        <v>210815</v>
      </c>
      <c r="Y33" s="66"/>
      <c r="Z33" s="66"/>
      <c r="AA33" s="66"/>
    </row>
    <row r="34" spans="1:27">
      <c r="A34">
        <v>32</v>
      </c>
      <c r="B34" s="89" t="s">
        <v>14</v>
      </c>
      <c r="C34" t="s">
        <v>177</v>
      </c>
      <c r="D34" s="15"/>
      <c r="E34" s="15"/>
      <c r="F34" s="15"/>
      <c r="G34" s="15"/>
      <c r="H34" s="15"/>
      <c r="I34" s="15"/>
      <c r="J34" s="15"/>
      <c r="K34" s="65" t="str">
        <f>IF($C34='[2]4. Board Level Worksheet'!$C$5,'[2]4. Board Level Worksheet'!$C$18,"")</f>
        <v/>
      </c>
      <c r="L34" s="65" t="str">
        <f>IF($C34='[2]4. Board Level Worksheet'!$C$5,'[2]4. Board Level Worksheet'!$C$19,"")</f>
        <v/>
      </c>
      <c r="M34" s="67" t="str">
        <f>IF($C34='[2]4. Board Level Worksheet'!$C$5,'[2]4. Board Level Worksheet'!$C$21,"")</f>
        <v/>
      </c>
      <c r="N34" s="67" t="str">
        <f>IF($C34='[2]4. Board Level Worksheet'!$C$5,'[2]4. Board Level Worksheet'!$C$28,"")</f>
        <v/>
      </c>
      <c r="O34" s="67" t="str">
        <f>IF($C34='[2]4. Board Level Worksheet'!$C$5,'[2]4. Board Level Worksheet'!#REF!,"")</f>
        <v/>
      </c>
      <c r="P34" t="s">
        <v>177</v>
      </c>
      <c r="Q34" s="67">
        <v>102000</v>
      </c>
      <c r="R34" s="67">
        <v>102000</v>
      </c>
      <c r="S34" s="67">
        <v>42093</v>
      </c>
      <c r="T34" s="67">
        <v>7000</v>
      </c>
      <c r="U34" s="67">
        <v>58</v>
      </c>
      <c r="V34" s="67">
        <f t="shared" si="0"/>
        <v>58000</v>
      </c>
      <c r="W34" s="67">
        <v>178635</v>
      </c>
      <c r="X34" s="67">
        <v>127317</v>
      </c>
      <c r="Y34" s="66"/>
      <c r="Z34" s="66"/>
      <c r="AA34" s="66"/>
    </row>
    <row r="35" spans="1:27">
      <c r="A35">
        <v>33</v>
      </c>
      <c r="B35" s="89" t="s">
        <v>15</v>
      </c>
      <c r="C35" t="s">
        <v>178</v>
      </c>
      <c r="D35" s="15"/>
      <c r="E35" s="15"/>
      <c r="F35" s="15"/>
      <c r="G35" s="15"/>
      <c r="H35" s="15"/>
      <c r="I35" s="15"/>
      <c r="J35" s="15"/>
      <c r="K35" s="65" t="str">
        <f>IF($C35='[2]4. Board Level Worksheet'!$C$5,'[2]4. Board Level Worksheet'!$C$18,"")</f>
        <v/>
      </c>
      <c r="L35" s="65" t="str">
        <f>IF($C35='[2]4. Board Level Worksheet'!$C$5,'[2]4. Board Level Worksheet'!$C$19,"")</f>
        <v/>
      </c>
      <c r="M35" s="67" t="str">
        <f>IF($C35='[2]4. Board Level Worksheet'!$C$5,'[2]4. Board Level Worksheet'!$C$21,"")</f>
        <v/>
      </c>
      <c r="N35" s="67" t="str">
        <f>IF($C35='[2]4. Board Level Worksheet'!$C$5,'[2]4. Board Level Worksheet'!$C$28,"")</f>
        <v/>
      </c>
      <c r="O35" s="67" t="str">
        <f>IF($C35='[2]4. Board Level Worksheet'!$C$5,'[2]4. Board Level Worksheet'!#REF!,"")</f>
        <v/>
      </c>
      <c r="P35" t="s">
        <v>178</v>
      </c>
      <c r="Q35" s="67">
        <v>100900</v>
      </c>
      <c r="R35" s="67">
        <v>100900</v>
      </c>
      <c r="S35" s="67">
        <v>51728</v>
      </c>
      <c r="T35" s="67">
        <v>8000</v>
      </c>
      <c r="U35" s="67">
        <v>215</v>
      </c>
      <c r="V35" s="67">
        <f t="shared" si="0"/>
        <v>215000</v>
      </c>
      <c r="W35" s="67">
        <v>159333</v>
      </c>
      <c r="X35" s="67">
        <v>109628</v>
      </c>
      <c r="Y35" s="66"/>
      <c r="Z35" s="66"/>
      <c r="AA35" s="66"/>
    </row>
    <row r="36" spans="1:27">
      <c r="A36">
        <v>34</v>
      </c>
      <c r="B36" s="89">
        <v>31</v>
      </c>
      <c r="C36" t="s">
        <v>179</v>
      </c>
      <c r="D36" s="15"/>
      <c r="E36" s="15"/>
      <c r="F36" s="15"/>
      <c r="G36" s="15"/>
      <c r="H36" s="15"/>
      <c r="I36" s="15"/>
      <c r="J36" s="15"/>
      <c r="K36" s="65" t="str">
        <f>IF($C36='[2]4. Board Level Worksheet'!$C$5,'[2]4. Board Level Worksheet'!$C$18,"")</f>
        <v/>
      </c>
      <c r="L36" s="65" t="str">
        <f>IF($C36='[2]4. Board Level Worksheet'!$C$5,'[2]4. Board Level Worksheet'!$C$19,"")</f>
        <v/>
      </c>
      <c r="M36" s="67" t="str">
        <f>IF($C36='[2]4. Board Level Worksheet'!$C$5,'[2]4. Board Level Worksheet'!$C$21,"")</f>
        <v/>
      </c>
      <c r="N36" s="67" t="str">
        <f>IF($C36='[2]4. Board Level Worksheet'!$C$5,'[2]4. Board Level Worksheet'!$C$28,"")</f>
        <v/>
      </c>
      <c r="O36" s="67" t="str">
        <f>IF($C36='[2]4. Board Level Worksheet'!$C$5,'[2]4. Board Level Worksheet'!#REF!,"")</f>
        <v/>
      </c>
      <c r="P36" t="s">
        <v>179</v>
      </c>
      <c r="Q36" s="67">
        <v>156700</v>
      </c>
      <c r="R36" s="67">
        <v>156700</v>
      </c>
      <c r="S36" s="67">
        <v>67410</v>
      </c>
      <c r="T36" s="67">
        <v>11000</v>
      </c>
      <c r="U36" s="67">
        <v>56</v>
      </c>
      <c r="V36" s="67">
        <f t="shared" si="0"/>
        <v>56000</v>
      </c>
      <c r="W36" s="67">
        <v>150144</v>
      </c>
      <c r="X36" s="67">
        <v>111558</v>
      </c>
      <c r="Y36" s="66"/>
      <c r="Z36" s="66"/>
      <c r="AA36" s="66"/>
    </row>
    <row r="37" spans="1:27">
      <c r="A37">
        <v>35</v>
      </c>
      <c r="B37" s="89">
        <v>32</v>
      </c>
      <c r="C37" t="s">
        <v>180</v>
      </c>
      <c r="D37" s="15"/>
      <c r="E37" s="15"/>
      <c r="F37" s="15"/>
      <c r="G37" s="15"/>
      <c r="H37" s="15"/>
      <c r="I37" s="15"/>
      <c r="J37" s="15"/>
      <c r="K37" s="65" t="str">
        <f>IF($C37='[2]4. Board Level Worksheet'!$C$5,'[2]4. Board Level Worksheet'!$C$18,"")</f>
        <v/>
      </c>
      <c r="L37" s="65" t="str">
        <f>IF($C37='[2]4. Board Level Worksheet'!$C$5,'[2]4. Board Level Worksheet'!$C$19,"")</f>
        <v/>
      </c>
      <c r="M37" s="67" t="str">
        <f>IF($C37='[2]4. Board Level Worksheet'!$C$5,'[2]4. Board Level Worksheet'!$C$21,"")</f>
        <v/>
      </c>
      <c r="N37" s="67" t="str">
        <f>IF($C37='[2]4. Board Level Worksheet'!$C$5,'[2]4. Board Level Worksheet'!$C$28,"")</f>
        <v/>
      </c>
      <c r="O37" s="67" t="str">
        <f>IF($C37='[2]4. Board Level Worksheet'!$C$5,'[2]4. Board Level Worksheet'!#REF!,"")</f>
        <v/>
      </c>
      <c r="P37" t="s">
        <v>180</v>
      </c>
      <c r="Q37" s="67">
        <v>176400</v>
      </c>
      <c r="R37" s="67">
        <v>176400</v>
      </c>
      <c r="S37" s="67">
        <v>93118</v>
      </c>
      <c r="T37" s="67">
        <v>14000</v>
      </c>
      <c r="U37" s="67">
        <v>37</v>
      </c>
      <c r="V37" s="67">
        <f t="shared" si="0"/>
        <v>37000</v>
      </c>
      <c r="W37" s="67">
        <v>100504</v>
      </c>
      <c r="X37" s="67">
        <v>80125</v>
      </c>
      <c r="Y37" s="66"/>
      <c r="Z37" s="66"/>
      <c r="AA37" s="66"/>
    </row>
    <row r="38" spans="1:27">
      <c r="A38">
        <v>36</v>
      </c>
      <c r="B38" s="89" t="s">
        <v>16</v>
      </c>
      <c r="C38" t="s">
        <v>181</v>
      </c>
      <c r="D38" s="15"/>
      <c r="E38" s="15"/>
      <c r="F38" s="15"/>
      <c r="G38" s="15"/>
      <c r="H38" s="15"/>
      <c r="I38" s="15"/>
      <c r="J38" s="15"/>
      <c r="K38" s="65" t="str">
        <f>IF($C38='[2]4. Board Level Worksheet'!$C$5,'[2]4. Board Level Worksheet'!$C$18,"")</f>
        <v/>
      </c>
      <c r="L38" s="65" t="str">
        <f>IF($C38='[2]4. Board Level Worksheet'!$C$5,'[2]4. Board Level Worksheet'!$C$19,"")</f>
        <v/>
      </c>
      <c r="M38" s="67" t="str">
        <f>IF($C38='[2]4. Board Level Worksheet'!$C$5,'[2]4. Board Level Worksheet'!$C$21,"")</f>
        <v/>
      </c>
      <c r="N38" s="67" t="str">
        <f>IF($C38='[2]4. Board Level Worksheet'!$C$5,'[2]4. Board Level Worksheet'!$C$28,"")</f>
        <v/>
      </c>
      <c r="O38" s="67" t="str">
        <f>IF($C38='[2]4. Board Level Worksheet'!$C$5,'[2]4. Board Level Worksheet'!#REF!,"")</f>
        <v/>
      </c>
      <c r="P38" t="s">
        <v>181</v>
      </c>
      <c r="Q38" s="67">
        <v>50700</v>
      </c>
      <c r="R38" s="67">
        <v>50700</v>
      </c>
      <c r="S38" s="67">
        <v>20789</v>
      </c>
      <c r="T38" s="67">
        <v>6000</v>
      </c>
      <c r="U38" s="67">
        <v>7</v>
      </c>
      <c r="V38" s="67">
        <f t="shared" si="0"/>
        <v>7000</v>
      </c>
      <c r="W38" s="67">
        <v>23810</v>
      </c>
      <c r="X38" s="67">
        <v>20300</v>
      </c>
      <c r="Y38" s="66"/>
      <c r="Z38" s="66"/>
      <c r="AA38" s="66"/>
    </row>
    <row r="39" spans="1:27">
      <c r="A39">
        <v>37</v>
      </c>
      <c r="B39" s="89" t="s">
        <v>17</v>
      </c>
      <c r="C39" t="s">
        <v>182</v>
      </c>
      <c r="D39" s="15"/>
      <c r="E39" s="15"/>
      <c r="F39" s="15"/>
      <c r="G39" s="15"/>
      <c r="H39" s="15"/>
      <c r="I39" s="15"/>
      <c r="J39" s="15"/>
      <c r="K39" s="65" t="str">
        <f>IF($C39='[2]4. Board Level Worksheet'!$C$5,'[2]4. Board Level Worksheet'!$C$18,"")</f>
        <v/>
      </c>
      <c r="L39" s="65" t="str">
        <f>IF($C39='[2]4. Board Level Worksheet'!$C$5,'[2]4. Board Level Worksheet'!$C$19,"")</f>
        <v/>
      </c>
      <c r="M39" s="67" t="str">
        <f>IF($C39='[2]4. Board Level Worksheet'!$C$5,'[2]4. Board Level Worksheet'!$C$21,"")</f>
        <v/>
      </c>
      <c r="N39" s="67" t="str">
        <f>IF($C39='[2]4. Board Level Worksheet'!$C$5,'[2]4. Board Level Worksheet'!$C$28,"")</f>
        <v/>
      </c>
      <c r="O39" s="67" t="str">
        <f>IF($C39='[2]4. Board Level Worksheet'!$C$5,'[2]4. Board Level Worksheet'!#REF!,"")</f>
        <v/>
      </c>
      <c r="P39" t="s">
        <v>182</v>
      </c>
      <c r="Q39" s="67">
        <v>42900</v>
      </c>
      <c r="R39" s="67">
        <v>42900</v>
      </c>
      <c r="S39" s="67">
        <v>16799</v>
      </c>
      <c r="T39" s="67">
        <v>4000</v>
      </c>
      <c r="U39" s="67">
        <v>4</v>
      </c>
      <c r="V39" s="67">
        <f t="shared" si="0"/>
        <v>4000</v>
      </c>
      <c r="W39" s="67">
        <v>23241</v>
      </c>
      <c r="X39" s="67">
        <v>19854</v>
      </c>
      <c r="Y39" s="66"/>
      <c r="Z39" s="66"/>
      <c r="AA39" s="66"/>
    </row>
    <row r="40" spans="1:27">
      <c r="A40">
        <v>38</v>
      </c>
      <c r="B40" s="89" t="s">
        <v>18</v>
      </c>
      <c r="C40" t="s">
        <v>183</v>
      </c>
      <c r="D40" s="15"/>
      <c r="E40" s="15"/>
      <c r="F40" s="15"/>
      <c r="G40" s="15"/>
      <c r="H40" s="15"/>
      <c r="I40" s="15"/>
      <c r="J40" s="15"/>
      <c r="K40" s="65" t="str">
        <f>IF($C40='[2]4. Board Level Worksheet'!$C$5,'[2]4. Board Level Worksheet'!$C$18,"")</f>
        <v/>
      </c>
      <c r="L40" s="65" t="str">
        <f>IF($C40='[2]4. Board Level Worksheet'!$C$5,'[2]4. Board Level Worksheet'!$C$19,"")</f>
        <v/>
      </c>
      <c r="M40" s="67" t="str">
        <f>IF($C40='[2]4. Board Level Worksheet'!$C$5,'[2]4. Board Level Worksheet'!$C$21,"")</f>
        <v/>
      </c>
      <c r="N40" s="67" t="str">
        <f>IF($C40='[2]4. Board Level Worksheet'!$C$5,'[2]4. Board Level Worksheet'!$C$28,"")</f>
        <v/>
      </c>
      <c r="O40" s="67" t="str">
        <f>IF($C40='[2]4. Board Level Worksheet'!$C$5,'[2]4. Board Level Worksheet'!#REF!,"")</f>
        <v/>
      </c>
      <c r="P40" t="s">
        <v>183</v>
      </c>
      <c r="Q40" s="67">
        <v>210300</v>
      </c>
      <c r="R40" s="67">
        <v>210300</v>
      </c>
      <c r="S40" s="67">
        <v>96697</v>
      </c>
      <c r="T40" s="67">
        <v>18000</v>
      </c>
      <c r="U40" s="67">
        <v>22</v>
      </c>
      <c r="V40" s="67">
        <f t="shared" si="0"/>
        <v>22000</v>
      </c>
      <c r="W40" s="67">
        <v>108950</v>
      </c>
      <c r="X40" s="67">
        <v>87236</v>
      </c>
      <c r="Y40" s="66"/>
      <c r="Z40" s="66"/>
      <c r="AA40" s="66"/>
    </row>
    <row r="41" spans="1:27">
      <c r="A41">
        <v>39</v>
      </c>
      <c r="B41" s="89" t="s">
        <v>19</v>
      </c>
      <c r="C41" t="s">
        <v>184</v>
      </c>
      <c r="D41" s="15"/>
      <c r="E41" s="15"/>
      <c r="F41" s="15"/>
      <c r="G41" s="15"/>
      <c r="H41" s="15"/>
      <c r="I41" s="15"/>
      <c r="J41" s="15"/>
      <c r="K41" s="65" t="str">
        <f>IF($C41='[2]4. Board Level Worksheet'!$C$5,'[2]4. Board Level Worksheet'!$C$18,"")</f>
        <v/>
      </c>
      <c r="L41" s="65" t="str">
        <f>IF($C41='[2]4. Board Level Worksheet'!$C$5,'[2]4. Board Level Worksheet'!$C$19,"")</f>
        <v/>
      </c>
      <c r="M41" s="67" t="str">
        <f>IF($C41='[2]4. Board Level Worksheet'!$C$5,'[2]4. Board Level Worksheet'!$C$21,"")</f>
        <v/>
      </c>
      <c r="N41" s="67" t="str">
        <f>IF($C41='[2]4. Board Level Worksheet'!$C$5,'[2]4. Board Level Worksheet'!$C$28,"")</f>
        <v/>
      </c>
      <c r="O41" s="67" t="str">
        <f>IF($C41='[2]4. Board Level Worksheet'!$C$5,'[2]4. Board Level Worksheet'!#REF!,"")</f>
        <v/>
      </c>
      <c r="P41" t="s">
        <v>184</v>
      </c>
      <c r="Q41" s="67">
        <v>77700</v>
      </c>
      <c r="R41" s="67">
        <v>77700</v>
      </c>
      <c r="S41" s="67">
        <v>25886</v>
      </c>
      <c r="T41" s="67">
        <v>5000</v>
      </c>
      <c r="U41" s="67">
        <v>7</v>
      </c>
      <c r="V41" s="67">
        <f t="shared" si="0"/>
        <v>7000</v>
      </c>
      <c r="W41" s="67">
        <v>47476</v>
      </c>
      <c r="X41" s="67">
        <v>39064</v>
      </c>
      <c r="Y41" s="66"/>
      <c r="Z41" s="66"/>
      <c r="AA41" s="66"/>
    </row>
    <row r="42" spans="1:27">
      <c r="A42">
        <v>40</v>
      </c>
      <c r="B42" s="89">
        <v>35</v>
      </c>
      <c r="C42" t="s">
        <v>185</v>
      </c>
      <c r="D42" s="15"/>
      <c r="E42" s="15"/>
      <c r="F42" s="15"/>
      <c r="G42" s="15"/>
      <c r="H42" s="15"/>
      <c r="I42" s="15"/>
      <c r="J42" s="15"/>
      <c r="K42" s="65" t="str">
        <f>IF($C42='[2]4. Board Level Worksheet'!$C$5,'[2]4. Board Level Worksheet'!$C$18,"")</f>
        <v/>
      </c>
      <c r="L42" s="65" t="str">
        <f>IF($C42='[2]4. Board Level Worksheet'!$C$5,'[2]4. Board Level Worksheet'!$C$19,"")</f>
        <v/>
      </c>
      <c r="M42" s="67" t="str">
        <f>IF($C42='[2]4. Board Level Worksheet'!$C$5,'[2]4. Board Level Worksheet'!$C$21,"")</f>
        <v/>
      </c>
      <c r="N42" s="67" t="str">
        <f>IF($C42='[2]4. Board Level Worksheet'!$C$5,'[2]4. Board Level Worksheet'!$C$28,"")</f>
        <v/>
      </c>
      <c r="O42" s="67" t="str">
        <f>IF($C42='[2]4. Board Level Worksheet'!$C$5,'[2]4. Board Level Worksheet'!#REF!,"")</f>
        <v/>
      </c>
      <c r="P42" t="s">
        <v>185</v>
      </c>
      <c r="Q42" s="67">
        <v>124500</v>
      </c>
      <c r="R42" s="67">
        <v>124500</v>
      </c>
      <c r="S42" s="67">
        <v>67335</v>
      </c>
      <c r="T42" s="67">
        <v>13000</v>
      </c>
      <c r="U42" s="67">
        <v>15</v>
      </c>
      <c r="V42" s="67">
        <f t="shared" si="0"/>
        <v>15000</v>
      </c>
      <c r="W42" s="67">
        <v>68689</v>
      </c>
      <c r="X42" s="67">
        <v>55030</v>
      </c>
      <c r="Y42" s="66"/>
      <c r="Z42" s="66"/>
      <c r="AA42" s="66"/>
    </row>
    <row r="43" spans="1:27">
      <c r="A43">
        <v>41</v>
      </c>
      <c r="B43" s="89">
        <v>36</v>
      </c>
      <c r="C43" t="s">
        <v>186</v>
      </c>
      <c r="D43" s="15"/>
      <c r="E43" s="15"/>
      <c r="F43" s="15"/>
      <c r="G43" s="15"/>
      <c r="H43" s="15"/>
      <c r="I43" s="15"/>
      <c r="J43" s="15"/>
      <c r="K43" s="65" t="str">
        <f>IF($C43='[2]4. Board Level Worksheet'!$C$5,'[2]4. Board Level Worksheet'!$C$18,"")</f>
        <v/>
      </c>
      <c r="L43" s="65" t="str">
        <f>IF($C43='[2]4. Board Level Worksheet'!$C$5,'[2]4. Board Level Worksheet'!$C$19,"")</f>
        <v/>
      </c>
      <c r="M43" s="67" t="str">
        <f>IF($C43='[2]4. Board Level Worksheet'!$C$5,'[2]4. Board Level Worksheet'!$C$21,"")</f>
        <v/>
      </c>
      <c r="N43" s="67" t="str">
        <f>IF($C43='[2]4. Board Level Worksheet'!$C$5,'[2]4. Board Level Worksheet'!$C$28,"")</f>
        <v/>
      </c>
      <c r="O43" s="67" t="str">
        <f>IF($C43='[2]4. Board Level Worksheet'!$C$5,'[2]4. Board Level Worksheet'!#REF!,"")</f>
        <v/>
      </c>
      <c r="P43" t="s">
        <v>186</v>
      </c>
      <c r="Q43" s="67">
        <v>158300</v>
      </c>
      <c r="R43" s="67">
        <v>158300</v>
      </c>
      <c r="S43" s="67">
        <v>66229</v>
      </c>
      <c r="T43" s="67">
        <v>13000</v>
      </c>
      <c r="U43" s="67">
        <v>52</v>
      </c>
      <c r="V43" s="67">
        <f t="shared" si="0"/>
        <v>52000</v>
      </c>
      <c r="W43" s="67">
        <v>114830</v>
      </c>
      <c r="X43" s="67">
        <v>87646</v>
      </c>
      <c r="Y43" s="66"/>
      <c r="Z43" s="66"/>
      <c r="AA43" s="66"/>
    </row>
    <row r="44" spans="1:27">
      <c r="A44">
        <v>42</v>
      </c>
      <c r="B44" s="89">
        <v>37</v>
      </c>
      <c r="C44" t="s">
        <v>187</v>
      </c>
      <c r="D44" s="15"/>
      <c r="E44" s="15"/>
      <c r="F44" s="15"/>
      <c r="G44" s="15"/>
      <c r="H44" s="15"/>
      <c r="I44" s="15"/>
      <c r="J44" s="15"/>
      <c r="K44" s="65" t="str">
        <f>IF($C44='[2]4. Board Level Worksheet'!$C$5,'[2]4. Board Level Worksheet'!$C$18,"")</f>
        <v/>
      </c>
      <c r="L44" s="65" t="str">
        <f>IF($C44='[2]4. Board Level Worksheet'!$C$5,'[2]4. Board Level Worksheet'!$C$19,"")</f>
        <v/>
      </c>
      <c r="M44" s="67" t="str">
        <f>IF($C44='[2]4. Board Level Worksheet'!$C$5,'[2]4. Board Level Worksheet'!$C$21,"")</f>
        <v/>
      </c>
      <c r="N44" s="67" t="str">
        <f>IF($C44='[2]4. Board Level Worksheet'!$C$5,'[2]4. Board Level Worksheet'!$C$28,"")</f>
        <v/>
      </c>
      <c r="O44" s="67" t="str">
        <f>IF($C44='[2]4. Board Level Worksheet'!$C$5,'[2]4. Board Level Worksheet'!#REF!,"")</f>
        <v/>
      </c>
      <c r="P44" t="s">
        <v>187</v>
      </c>
      <c r="Q44" s="67">
        <v>454500</v>
      </c>
      <c r="R44" s="67">
        <v>454500</v>
      </c>
      <c r="S44" s="67">
        <v>283090</v>
      </c>
      <c r="T44" s="67">
        <v>40000</v>
      </c>
      <c r="U44" s="67">
        <v>167</v>
      </c>
      <c r="V44" s="67">
        <f t="shared" si="0"/>
        <v>167000</v>
      </c>
      <c r="W44" s="67">
        <v>390603</v>
      </c>
      <c r="X44" s="67">
        <v>268005</v>
      </c>
      <c r="Y44" s="66"/>
      <c r="Z44" s="66"/>
      <c r="AA44" s="66"/>
    </row>
    <row r="45" spans="1:27">
      <c r="A45">
        <v>43</v>
      </c>
      <c r="B45" s="89">
        <v>38</v>
      </c>
      <c r="C45" t="s">
        <v>3</v>
      </c>
      <c r="D45" s="15"/>
      <c r="E45" s="15"/>
      <c r="F45" s="15"/>
      <c r="G45" s="15"/>
      <c r="H45" s="15"/>
      <c r="I45" s="15"/>
      <c r="J45" s="15"/>
      <c r="K45" s="65" t="str">
        <f>IF($C45='[2]4. Board Level Worksheet'!$C$5,'[2]4. Board Level Worksheet'!$C$18,"")</f>
        <v/>
      </c>
      <c r="L45" s="65" t="str">
        <f>IF($C45='[2]4. Board Level Worksheet'!$C$5,'[2]4. Board Level Worksheet'!$C$19,"")</f>
        <v/>
      </c>
      <c r="M45" s="67" t="str">
        <f>IF($C45='[2]4. Board Level Worksheet'!$C$5,'[2]4. Board Level Worksheet'!$C$21,"")</f>
        <v/>
      </c>
      <c r="N45" s="67" t="str">
        <f>IF($C45='[2]4. Board Level Worksheet'!$C$5,'[2]4. Board Level Worksheet'!$C$28,"")</f>
        <v/>
      </c>
      <c r="O45" s="67" t="str">
        <f>IF($C45='[2]4. Board Level Worksheet'!$C$5,'[2]4. Board Level Worksheet'!#REF!,"")</f>
        <v/>
      </c>
      <c r="P45" t="s">
        <v>3</v>
      </c>
      <c r="Q45" s="67">
        <v>523800</v>
      </c>
      <c r="R45" s="67">
        <v>523800</v>
      </c>
      <c r="S45" s="67">
        <v>303142</v>
      </c>
      <c r="T45" s="67">
        <v>50000</v>
      </c>
      <c r="U45" s="67">
        <v>69</v>
      </c>
      <c r="V45" s="67">
        <f t="shared" si="0"/>
        <v>69000</v>
      </c>
      <c r="W45" s="67">
        <v>318080</v>
      </c>
      <c r="X45" s="67">
        <v>248981</v>
      </c>
      <c r="Y45" s="66"/>
      <c r="Z45" s="66"/>
      <c r="AA45" s="66"/>
    </row>
    <row r="46" spans="1:27">
      <c r="A46">
        <v>44</v>
      </c>
      <c r="B46" s="89">
        <v>39</v>
      </c>
      <c r="C46" t="s">
        <v>188</v>
      </c>
      <c r="D46" s="15"/>
      <c r="E46" s="15"/>
      <c r="F46" s="15"/>
      <c r="G46" s="15"/>
      <c r="H46" s="15"/>
      <c r="I46" s="15"/>
      <c r="J46" s="15"/>
      <c r="K46" s="65" t="str">
        <f>IF($C46='[2]4. Board Level Worksheet'!$C$5,'[2]4. Board Level Worksheet'!$C$18,"")</f>
        <v/>
      </c>
      <c r="L46" s="65" t="str">
        <f>IF($C46='[2]4. Board Level Worksheet'!$C$5,'[2]4. Board Level Worksheet'!$C$19,"")</f>
        <v/>
      </c>
      <c r="M46" s="67" t="str">
        <f>IF($C46='[2]4. Board Level Worksheet'!$C$5,'[2]4. Board Level Worksheet'!$C$21,"")</f>
        <v/>
      </c>
      <c r="N46" s="67" t="str">
        <f>IF($C46='[2]4. Board Level Worksheet'!$C$5,'[2]4. Board Level Worksheet'!$C$28,"")</f>
        <v/>
      </c>
      <c r="O46" s="67" t="str">
        <f>IF($C46='[2]4. Board Level Worksheet'!$C$5,'[2]4. Board Level Worksheet'!#REF!,"")</f>
        <v/>
      </c>
      <c r="P46" t="s">
        <v>188</v>
      </c>
      <c r="Q46" s="67">
        <v>227000</v>
      </c>
      <c r="R46" s="67">
        <v>227000</v>
      </c>
      <c r="S46" s="67">
        <v>125966</v>
      </c>
      <c r="T46" s="67">
        <v>21000</v>
      </c>
      <c r="U46" s="67">
        <v>75</v>
      </c>
      <c r="V46" s="67">
        <f t="shared" si="0"/>
        <v>75000</v>
      </c>
      <c r="W46" s="67">
        <v>166436</v>
      </c>
      <c r="X46" s="67">
        <v>124033</v>
      </c>
      <c r="Y46" s="66"/>
      <c r="Z46" s="66"/>
      <c r="AA46" s="66"/>
    </row>
    <row r="47" spans="1:27">
      <c r="A47">
        <v>45</v>
      </c>
      <c r="B47" s="89">
        <v>40</v>
      </c>
      <c r="C47" t="s">
        <v>189</v>
      </c>
      <c r="D47" s="15"/>
      <c r="E47" s="15"/>
      <c r="F47" s="15"/>
      <c r="G47" s="15"/>
      <c r="H47" s="15"/>
      <c r="I47" s="15"/>
      <c r="J47" s="15"/>
      <c r="K47" s="65" t="str">
        <f>IF($C47='[2]4. Board Level Worksheet'!$C$5,'[2]4. Board Level Worksheet'!$C$18,"")</f>
        <v/>
      </c>
      <c r="L47" s="65" t="str">
        <f>IF($C47='[2]4. Board Level Worksheet'!$C$5,'[2]4. Board Level Worksheet'!$C$19,"")</f>
        <v/>
      </c>
      <c r="M47" s="67" t="str">
        <f>IF($C47='[2]4. Board Level Worksheet'!$C$5,'[2]4. Board Level Worksheet'!$C$21,"")</f>
        <v/>
      </c>
      <c r="N47" s="67" t="str">
        <f>IF($C47='[2]4. Board Level Worksheet'!$C$5,'[2]4. Board Level Worksheet'!$C$28,"")</f>
        <v/>
      </c>
      <c r="O47" s="67" t="str">
        <f>IF($C47='[2]4. Board Level Worksheet'!$C$5,'[2]4. Board Level Worksheet'!#REF!,"")</f>
        <v/>
      </c>
      <c r="P47" t="s">
        <v>189</v>
      </c>
      <c r="Q47" s="67">
        <v>2024700</v>
      </c>
      <c r="R47" s="67">
        <v>2024700</v>
      </c>
      <c r="S47" s="67">
        <v>1221920</v>
      </c>
      <c r="T47" s="67">
        <v>203000</v>
      </c>
      <c r="U47" s="67">
        <v>1766</v>
      </c>
      <c r="V47" s="67">
        <f t="shared" si="0"/>
        <v>1766000</v>
      </c>
      <c r="W47" s="67">
        <v>2043519</v>
      </c>
      <c r="X47" s="67">
        <v>1419899</v>
      </c>
      <c r="Y47" s="66"/>
      <c r="Z47" s="66"/>
      <c r="AA47" s="66"/>
    </row>
    <row r="48" spans="1:27">
      <c r="A48">
        <v>46</v>
      </c>
      <c r="B48" s="89">
        <v>41</v>
      </c>
      <c r="C48" t="s">
        <v>190</v>
      </c>
      <c r="D48" s="15"/>
      <c r="E48" s="15"/>
      <c r="F48" s="15"/>
      <c r="G48" s="15"/>
      <c r="H48" s="15"/>
      <c r="I48" s="15"/>
      <c r="J48" s="15"/>
      <c r="K48" s="65" t="str">
        <f>IF($C48='[2]4. Board Level Worksheet'!$C$5,'[2]4. Board Level Worksheet'!$C$18,"")</f>
        <v/>
      </c>
      <c r="L48" s="65" t="str">
        <f>IF($C48='[2]4. Board Level Worksheet'!$C$5,'[2]4. Board Level Worksheet'!$C$19,"")</f>
        <v/>
      </c>
      <c r="M48" s="67" t="str">
        <f>IF($C48='[2]4. Board Level Worksheet'!$C$5,'[2]4. Board Level Worksheet'!$C$21,"")</f>
        <v/>
      </c>
      <c r="N48" s="67" t="str">
        <f>IF($C48='[2]4. Board Level Worksheet'!$C$5,'[2]4. Board Level Worksheet'!$C$28,"")</f>
        <v/>
      </c>
      <c r="O48" s="67" t="str">
        <f>IF($C48='[2]4. Board Level Worksheet'!$C$5,'[2]4. Board Level Worksheet'!#REF!,"")</f>
        <v/>
      </c>
      <c r="P48" t="s">
        <v>190</v>
      </c>
      <c r="Q48" s="67">
        <v>367900</v>
      </c>
      <c r="R48" s="67">
        <v>367900</v>
      </c>
      <c r="S48" s="67">
        <v>211308</v>
      </c>
      <c r="T48" s="67">
        <v>32000</v>
      </c>
      <c r="U48" s="67">
        <v>39</v>
      </c>
      <c r="V48" s="67">
        <f t="shared" si="0"/>
        <v>39000</v>
      </c>
      <c r="W48" s="67">
        <v>212374</v>
      </c>
      <c r="X48" s="67">
        <v>173578</v>
      </c>
      <c r="Y48" s="66"/>
      <c r="Z48" s="66"/>
      <c r="AA48" s="66"/>
    </row>
    <row r="49" spans="1:27">
      <c r="A49">
        <v>47</v>
      </c>
      <c r="B49" s="89">
        <v>42</v>
      </c>
      <c r="C49" t="s">
        <v>191</v>
      </c>
      <c r="D49" s="15"/>
      <c r="E49" s="15"/>
      <c r="F49" s="15"/>
      <c r="G49" s="15"/>
      <c r="H49" s="15"/>
      <c r="I49" s="15"/>
      <c r="J49" s="15"/>
      <c r="K49" s="65" t="str">
        <f>IF($C49='[2]4. Board Level Worksheet'!$C$5,'[2]4. Board Level Worksheet'!$C$18,"")</f>
        <v/>
      </c>
      <c r="L49" s="65" t="str">
        <f>IF($C49='[2]4. Board Level Worksheet'!$C$5,'[2]4. Board Level Worksheet'!$C$19,"")</f>
        <v/>
      </c>
      <c r="M49" s="67" t="str">
        <f>IF($C49='[2]4. Board Level Worksheet'!$C$5,'[2]4. Board Level Worksheet'!$C$21,"")</f>
        <v/>
      </c>
      <c r="N49" s="67" t="str">
        <f>IF($C49='[2]4. Board Level Worksheet'!$C$5,'[2]4. Board Level Worksheet'!$C$28,"")</f>
        <v/>
      </c>
      <c r="O49" s="67" t="str">
        <f>IF($C49='[2]4. Board Level Worksheet'!$C$5,'[2]4. Board Level Worksheet'!#REF!,"")</f>
        <v/>
      </c>
      <c r="P49" t="s">
        <v>191</v>
      </c>
      <c r="Q49" s="67">
        <v>1027000</v>
      </c>
      <c r="R49" s="67">
        <v>1027000</v>
      </c>
      <c r="S49" s="67">
        <v>697289</v>
      </c>
      <c r="T49" s="67">
        <v>141000</v>
      </c>
      <c r="U49" s="67">
        <v>499</v>
      </c>
      <c r="V49" s="67">
        <f t="shared" si="0"/>
        <v>499000</v>
      </c>
      <c r="W49" s="67">
        <v>542858</v>
      </c>
      <c r="X49" s="67">
        <v>437832</v>
      </c>
      <c r="Y49" s="66"/>
      <c r="Z49" s="66"/>
      <c r="AA49" s="66"/>
    </row>
    <row r="50" spans="1:27">
      <c r="A50">
        <v>48</v>
      </c>
      <c r="B50" s="89">
        <v>43</v>
      </c>
      <c r="C50" t="s">
        <v>192</v>
      </c>
      <c r="D50" s="15"/>
      <c r="E50" s="15"/>
      <c r="F50" s="15"/>
      <c r="G50" s="15"/>
      <c r="H50" s="15"/>
      <c r="I50" s="15"/>
      <c r="J50" s="15"/>
      <c r="K50" s="65" t="str">
        <f>IF($C50='[2]4. Board Level Worksheet'!$C$5,'[2]4. Board Level Worksheet'!$C$18,"")</f>
        <v/>
      </c>
      <c r="L50" s="65" t="str">
        <f>IF($C50='[2]4. Board Level Worksheet'!$C$5,'[2]4. Board Level Worksheet'!$C$19,"")</f>
        <v/>
      </c>
      <c r="M50" s="67" t="str">
        <f>IF($C50='[2]4. Board Level Worksheet'!$C$5,'[2]4. Board Level Worksheet'!$C$21,"")</f>
        <v/>
      </c>
      <c r="N50" s="67" t="str">
        <f>IF($C50='[2]4. Board Level Worksheet'!$C$5,'[2]4. Board Level Worksheet'!$C$28,"")</f>
        <v/>
      </c>
      <c r="O50" s="67" t="str">
        <f>IF($C50='[2]4. Board Level Worksheet'!$C$5,'[2]4. Board Level Worksheet'!#REF!,"")</f>
        <v/>
      </c>
      <c r="P50" t="s">
        <v>192</v>
      </c>
      <c r="Q50" s="67">
        <v>1702200</v>
      </c>
      <c r="R50" s="67">
        <v>1702200</v>
      </c>
      <c r="S50" s="67">
        <v>1034392.9999999999</v>
      </c>
      <c r="T50" s="67">
        <v>131000</v>
      </c>
      <c r="U50" s="67">
        <v>160</v>
      </c>
      <c r="V50" s="67">
        <f t="shared" si="0"/>
        <v>160000</v>
      </c>
      <c r="W50" s="67">
        <v>743208</v>
      </c>
      <c r="X50" s="67">
        <v>625298</v>
      </c>
      <c r="Y50" s="66"/>
      <c r="Z50" s="66"/>
      <c r="AA50" s="66"/>
    </row>
    <row r="51" spans="1:27">
      <c r="A51">
        <v>49</v>
      </c>
      <c r="B51" s="89">
        <v>44</v>
      </c>
      <c r="C51" t="s">
        <v>193</v>
      </c>
      <c r="D51" s="15"/>
      <c r="E51" s="15"/>
      <c r="F51" s="15"/>
      <c r="G51" s="15"/>
      <c r="H51" s="15"/>
      <c r="I51" s="15"/>
      <c r="J51" s="15"/>
      <c r="K51" s="65" t="str">
        <f>IF($C51='[2]4. Board Level Worksheet'!$C$5,'[2]4. Board Level Worksheet'!$C$18,"")</f>
        <v/>
      </c>
      <c r="L51" s="65" t="str">
        <f>IF($C51='[2]4. Board Level Worksheet'!$C$5,'[2]4. Board Level Worksheet'!$C$19,"")</f>
        <v/>
      </c>
      <c r="M51" s="67" t="str">
        <f>IF($C51='[2]4. Board Level Worksheet'!$C$5,'[2]4. Board Level Worksheet'!$C$21,"")</f>
        <v/>
      </c>
      <c r="N51" s="67" t="str">
        <f>IF($C51='[2]4. Board Level Worksheet'!$C$5,'[2]4. Board Level Worksheet'!$C$28,"")</f>
        <v/>
      </c>
      <c r="O51" s="67" t="str">
        <f>IF($C51='[2]4. Board Level Worksheet'!$C$5,'[2]4. Board Level Worksheet'!#REF!,"")</f>
        <v/>
      </c>
      <c r="P51" t="s">
        <v>193</v>
      </c>
      <c r="Q51" s="67">
        <v>500400</v>
      </c>
      <c r="R51" s="67">
        <v>500400</v>
      </c>
      <c r="S51" s="67">
        <v>311761</v>
      </c>
      <c r="T51" s="67">
        <v>55000</v>
      </c>
      <c r="U51" s="67">
        <v>72</v>
      </c>
      <c r="V51" s="67">
        <f t="shared" si="0"/>
        <v>72000</v>
      </c>
      <c r="W51" s="67">
        <v>255485</v>
      </c>
      <c r="X51" s="67">
        <v>214379</v>
      </c>
      <c r="Y51" s="66"/>
      <c r="Z51" s="66"/>
      <c r="AA51" s="66"/>
    </row>
    <row r="52" spans="1:27">
      <c r="A52">
        <v>50</v>
      </c>
      <c r="B52" s="89">
        <v>45</v>
      </c>
      <c r="C52" t="s">
        <v>194</v>
      </c>
      <c r="D52" s="15"/>
      <c r="E52" s="15"/>
      <c r="F52" s="15"/>
      <c r="G52" s="15"/>
      <c r="H52" s="15"/>
      <c r="I52" s="15"/>
      <c r="J52" s="15"/>
      <c r="K52" s="65" t="str">
        <f>IF($C52='[2]4. Board Level Worksheet'!$C$5,'[2]4. Board Level Worksheet'!$C$18,"")</f>
        <v/>
      </c>
      <c r="L52" s="65" t="str">
        <f>IF($C52='[2]4. Board Level Worksheet'!$C$5,'[2]4. Board Level Worksheet'!$C$19,"")</f>
        <v/>
      </c>
      <c r="M52" s="67" t="str">
        <f>IF($C52='[2]4. Board Level Worksheet'!$C$5,'[2]4. Board Level Worksheet'!$C$21,"")</f>
        <v/>
      </c>
      <c r="N52" s="67" t="str">
        <f>IF($C52='[2]4. Board Level Worksheet'!$C$5,'[2]4. Board Level Worksheet'!$C$28,"")</f>
        <v/>
      </c>
      <c r="O52" s="67" t="str">
        <f>IF($C52='[2]4. Board Level Worksheet'!$C$5,'[2]4. Board Level Worksheet'!#REF!,"")</f>
        <v/>
      </c>
      <c r="P52" t="s">
        <v>194</v>
      </c>
      <c r="Q52" s="67">
        <v>471100</v>
      </c>
      <c r="R52" s="67">
        <v>471100</v>
      </c>
      <c r="S52" s="67">
        <v>295396</v>
      </c>
      <c r="T52" s="67">
        <v>47000</v>
      </c>
      <c r="U52" s="67">
        <v>98</v>
      </c>
      <c r="V52" s="67">
        <f t="shared" si="0"/>
        <v>98000</v>
      </c>
      <c r="W52" s="67">
        <v>321391</v>
      </c>
      <c r="X52" s="67">
        <v>248496</v>
      </c>
      <c r="Y52" s="66"/>
      <c r="Z52" s="66"/>
      <c r="AA52" s="66"/>
    </row>
    <row r="53" spans="1:27">
      <c r="A53">
        <v>51</v>
      </c>
      <c r="B53" s="89">
        <v>46</v>
      </c>
      <c r="C53" t="s">
        <v>195</v>
      </c>
      <c r="D53" s="15"/>
      <c r="E53" s="15"/>
      <c r="F53" s="15"/>
      <c r="G53" s="15"/>
      <c r="H53" s="15"/>
      <c r="I53" s="15"/>
      <c r="J53" s="15"/>
      <c r="K53" s="65" t="str">
        <f>IF($C53='[2]4. Board Level Worksheet'!$C$5,'[2]4. Board Level Worksheet'!$C$18,"")</f>
        <v/>
      </c>
      <c r="L53" s="65" t="str">
        <f>IF($C53='[2]4. Board Level Worksheet'!$C$5,'[2]4. Board Level Worksheet'!$C$19,"")</f>
        <v/>
      </c>
      <c r="M53" s="67" t="str">
        <f>IF($C53='[2]4. Board Level Worksheet'!$C$5,'[2]4. Board Level Worksheet'!$C$21,"")</f>
        <v/>
      </c>
      <c r="N53" s="67" t="str">
        <f>IF($C53='[2]4. Board Level Worksheet'!$C$5,'[2]4. Board Level Worksheet'!$C$28,"")</f>
        <v/>
      </c>
      <c r="O53" s="67" t="str">
        <f>IF($C53='[2]4. Board Level Worksheet'!$C$5,'[2]4. Board Level Worksheet'!#REF!,"")</f>
        <v/>
      </c>
      <c r="P53" t="s">
        <v>195</v>
      </c>
      <c r="Q53" s="67">
        <v>582000</v>
      </c>
      <c r="R53" s="67">
        <v>582000</v>
      </c>
      <c r="S53" s="67">
        <v>503317</v>
      </c>
      <c r="T53" s="67">
        <v>77000</v>
      </c>
      <c r="U53" s="67">
        <v>105</v>
      </c>
      <c r="V53" s="67">
        <f t="shared" si="0"/>
        <v>105000</v>
      </c>
      <c r="W53" s="67">
        <v>265281</v>
      </c>
      <c r="X53" s="67">
        <v>224478</v>
      </c>
      <c r="Y53" s="66"/>
      <c r="Z53" s="66"/>
      <c r="AA53" s="66"/>
    </row>
    <row r="54" spans="1:27">
      <c r="A54">
        <v>52</v>
      </c>
      <c r="B54" s="89">
        <v>47</v>
      </c>
      <c r="C54" t="s">
        <v>196</v>
      </c>
      <c r="D54" s="15"/>
      <c r="E54" s="15"/>
      <c r="F54" s="15"/>
      <c r="G54" s="15"/>
      <c r="H54" s="15"/>
      <c r="I54" s="15"/>
      <c r="J54" s="15"/>
      <c r="K54" s="65" t="str">
        <f>IF($C54='[2]4. Board Level Worksheet'!$C$5,'[2]4. Board Level Worksheet'!$C$18,"")</f>
        <v/>
      </c>
      <c r="L54" s="65" t="str">
        <f>IF($C54='[2]4. Board Level Worksheet'!$C$5,'[2]4. Board Level Worksheet'!$C$19,"")</f>
        <v/>
      </c>
      <c r="M54" s="67" t="str">
        <f>IF($C54='[2]4. Board Level Worksheet'!$C$5,'[2]4. Board Level Worksheet'!$C$21,"")</f>
        <v/>
      </c>
      <c r="N54" s="67" t="str">
        <f>IF($C54='[2]4. Board Level Worksheet'!$C$5,'[2]4. Board Level Worksheet'!$C$28,"")</f>
        <v/>
      </c>
      <c r="O54" s="67" t="str">
        <f>IF($C54='[2]4. Board Level Worksheet'!$C$5,'[2]4. Board Level Worksheet'!#REF!,"")</f>
        <v/>
      </c>
      <c r="P54" t="s">
        <v>196</v>
      </c>
      <c r="Q54" s="67">
        <v>567800</v>
      </c>
      <c r="R54" s="67">
        <v>567800</v>
      </c>
      <c r="S54" s="67">
        <v>418581</v>
      </c>
      <c r="T54" s="67">
        <v>70000</v>
      </c>
      <c r="U54" s="67">
        <v>283</v>
      </c>
      <c r="V54" s="67">
        <f t="shared" si="0"/>
        <v>283000</v>
      </c>
      <c r="W54" s="67">
        <v>410195</v>
      </c>
      <c r="X54" s="67">
        <v>310638</v>
      </c>
      <c r="Y54" s="66"/>
      <c r="Z54" s="66"/>
      <c r="AA54" s="66"/>
    </row>
    <row r="55" spans="1:27">
      <c r="A55">
        <v>53</v>
      </c>
      <c r="B55" s="89">
        <v>48</v>
      </c>
      <c r="C55" t="s">
        <v>197</v>
      </c>
      <c r="D55" s="15"/>
      <c r="E55" s="15"/>
      <c r="F55" s="15"/>
      <c r="G55" s="15"/>
      <c r="H55" s="15"/>
      <c r="I55" s="15"/>
      <c r="J55" s="15"/>
      <c r="K55" s="65" t="str">
        <f>IF($C55='[2]4. Board Level Worksheet'!$C$5,'[2]4. Board Level Worksheet'!$C$18,"")</f>
        <v/>
      </c>
      <c r="L55" s="65" t="str">
        <f>IF($C55='[2]4. Board Level Worksheet'!$C$5,'[2]4. Board Level Worksheet'!$C$19,"")</f>
        <v/>
      </c>
      <c r="M55" s="67" t="str">
        <f>IF($C55='[2]4. Board Level Worksheet'!$C$5,'[2]4. Board Level Worksheet'!$C$21,"")</f>
        <v/>
      </c>
      <c r="N55" s="67" t="str">
        <f>IF($C55='[2]4. Board Level Worksheet'!$C$5,'[2]4. Board Level Worksheet'!$C$28,"")</f>
        <v/>
      </c>
      <c r="O55" s="67" t="str">
        <f>IF($C55='[2]4. Board Level Worksheet'!$C$5,'[2]4. Board Level Worksheet'!#REF!,"")</f>
        <v/>
      </c>
      <c r="P55" t="s">
        <v>197</v>
      </c>
      <c r="Q55" s="67">
        <v>207000</v>
      </c>
      <c r="R55" s="67">
        <v>207000</v>
      </c>
      <c r="S55" s="67">
        <v>108067</v>
      </c>
      <c r="T55" s="67">
        <v>20000</v>
      </c>
      <c r="U55" s="67">
        <v>25</v>
      </c>
      <c r="V55" s="67">
        <f t="shared" si="0"/>
        <v>25000</v>
      </c>
      <c r="W55" s="67">
        <v>110092</v>
      </c>
      <c r="X55" s="67">
        <v>92149</v>
      </c>
      <c r="Y55" s="66"/>
      <c r="Z55" s="66"/>
      <c r="AA55" s="66"/>
    </row>
    <row r="56" spans="1:27">
      <c r="A56">
        <v>54</v>
      </c>
      <c r="B56" s="89">
        <v>49</v>
      </c>
      <c r="C56" t="s">
        <v>198</v>
      </c>
      <c r="D56" s="15"/>
      <c r="E56" s="15"/>
      <c r="F56" s="15"/>
      <c r="G56" s="15"/>
      <c r="H56" s="15"/>
      <c r="I56" s="15"/>
      <c r="J56" s="15"/>
      <c r="K56" s="65" t="str">
        <f>IF($C56='[2]4. Board Level Worksheet'!$C$5,'[2]4. Board Level Worksheet'!$C$18,"")</f>
        <v/>
      </c>
      <c r="L56" s="65" t="str">
        <f>IF($C56='[2]4. Board Level Worksheet'!$C$5,'[2]4. Board Level Worksheet'!$C$19,"")</f>
        <v/>
      </c>
      <c r="M56" s="67" t="str">
        <f>IF($C56='[2]4. Board Level Worksheet'!$C$5,'[2]4. Board Level Worksheet'!$C$21,"")</f>
        <v/>
      </c>
      <c r="N56" s="67" t="str">
        <f>IF($C56='[2]4. Board Level Worksheet'!$C$5,'[2]4. Board Level Worksheet'!$C$28,"")</f>
        <v/>
      </c>
      <c r="O56" s="67" t="str">
        <f>IF($C56='[2]4. Board Level Worksheet'!$C$5,'[2]4. Board Level Worksheet'!#REF!,"")</f>
        <v/>
      </c>
      <c r="P56" t="s">
        <v>198</v>
      </c>
      <c r="Q56" s="67">
        <v>500800</v>
      </c>
      <c r="R56" s="67">
        <v>500800</v>
      </c>
      <c r="S56" s="67">
        <v>344326</v>
      </c>
      <c r="T56" s="67">
        <v>52000</v>
      </c>
      <c r="U56" s="67">
        <v>69</v>
      </c>
      <c r="V56" s="67">
        <f t="shared" si="0"/>
        <v>69000</v>
      </c>
      <c r="W56" s="67">
        <v>276127</v>
      </c>
      <c r="X56" s="67">
        <v>220731</v>
      </c>
      <c r="Y56" s="66"/>
      <c r="Z56" s="66"/>
      <c r="AA56" s="66"/>
    </row>
    <row r="57" spans="1:27">
      <c r="A57">
        <v>55</v>
      </c>
      <c r="B57" s="89">
        <v>50</v>
      </c>
      <c r="C57" t="s">
        <v>199</v>
      </c>
      <c r="D57" s="15"/>
      <c r="E57" s="15"/>
      <c r="F57" s="15"/>
      <c r="G57" s="15"/>
      <c r="H57" s="15"/>
      <c r="I57" s="15"/>
      <c r="J57" s="15"/>
      <c r="K57" s="65" t="str">
        <f>IF($C57='[2]4. Board Level Worksheet'!$C$5,'[2]4. Board Level Worksheet'!$C$18,"")</f>
        <v/>
      </c>
      <c r="L57" s="65" t="str">
        <f>IF($C57='[2]4. Board Level Worksheet'!$C$5,'[2]4. Board Level Worksheet'!$C$19,"")</f>
        <v/>
      </c>
      <c r="M57" s="67" t="str">
        <f>IF($C57='[2]4. Board Level Worksheet'!$C$5,'[2]4. Board Level Worksheet'!$C$21,"")</f>
        <v/>
      </c>
      <c r="N57" s="67" t="str">
        <f>IF($C57='[2]4. Board Level Worksheet'!$C$5,'[2]4. Board Level Worksheet'!$C$28,"")</f>
        <v/>
      </c>
      <c r="O57" s="67" t="str">
        <f>IF($C57='[2]4. Board Level Worksheet'!$C$5,'[2]4. Board Level Worksheet'!#REF!,"")</f>
        <v/>
      </c>
      <c r="P57" t="s">
        <v>199</v>
      </c>
      <c r="Q57" s="67">
        <v>552300</v>
      </c>
      <c r="R57" s="67">
        <v>552300</v>
      </c>
      <c r="S57" s="67">
        <v>275261</v>
      </c>
      <c r="T57" s="67">
        <v>57000</v>
      </c>
      <c r="U57" s="67">
        <v>147</v>
      </c>
      <c r="V57" s="67">
        <f t="shared" si="0"/>
        <v>147000</v>
      </c>
      <c r="W57" s="67">
        <v>301302</v>
      </c>
      <c r="X57" s="67">
        <v>247209</v>
      </c>
      <c r="Y57" s="66"/>
      <c r="Z57" s="66"/>
      <c r="AA57" s="66"/>
    </row>
    <row r="58" spans="1:27">
      <c r="A58">
        <v>56</v>
      </c>
      <c r="B58" s="89">
        <v>51</v>
      </c>
      <c r="C58" t="s">
        <v>200</v>
      </c>
      <c r="D58" s="15"/>
      <c r="E58" s="15"/>
      <c r="F58" s="15"/>
      <c r="G58" s="15"/>
      <c r="H58" s="15"/>
      <c r="I58" s="15"/>
      <c r="J58" s="15"/>
      <c r="K58" s="65" t="str">
        <f>IF($C58='[2]4. Board Level Worksheet'!$C$5,'[2]4. Board Level Worksheet'!$C$18,"")</f>
        <v/>
      </c>
      <c r="L58" s="65" t="str">
        <f>IF($C58='[2]4. Board Level Worksheet'!$C$5,'[2]4. Board Level Worksheet'!$C$19,"")</f>
        <v/>
      </c>
      <c r="M58" s="67" t="str">
        <f>IF($C58='[2]4. Board Level Worksheet'!$C$5,'[2]4. Board Level Worksheet'!$C$21,"")</f>
        <v/>
      </c>
      <c r="N58" s="67" t="str">
        <f>IF($C58='[2]4. Board Level Worksheet'!$C$5,'[2]4. Board Level Worksheet'!$C$28,"")</f>
        <v/>
      </c>
      <c r="O58" s="67" t="str">
        <f>IF($C58='[2]4. Board Level Worksheet'!$C$5,'[2]4. Board Level Worksheet'!#REF!,"")</f>
        <v/>
      </c>
      <c r="P58" t="s">
        <v>200</v>
      </c>
      <c r="Q58" s="67">
        <v>279800</v>
      </c>
      <c r="R58" s="67">
        <v>279800</v>
      </c>
      <c r="S58" s="67">
        <v>153358</v>
      </c>
      <c r="T58" s="67">
        <v>24000</v>
      </c>
      <c r="U58" s="67">
        <v>117</v>
      </c>
      <c r="V58" s="67">
        <f t="shared" si="0"/>
        <v>117000</v>
      </c>
      <c r="W58" s="67">
        <v>223183</v>
      </c>
      <c r="X58" s="67">
        <v>163694</v>
      </c>
      <c r="Y58" s="66"/>
      <c r="Z58" s="66"/>
      <c r="AA58" s="66"/>
    </row>
    <row r="59" spans="1:27">
      <c r="A59">
        <v>57</v>
      </c>
      <c r="B59" s="89">
        <v>52</v>
      </c>
      <c r="C59" t="s">
        <v>201</v>
      </c>
      <c r="D59" s="15"/>
      <c r="E59" s="15"/>
      <c r="F59" s="15"/>
      <c r="G59" s="15"/>
      <c r="H59" s="15"/>
      <c r="I59" s="15"/>
      <c r="J59" s="15"/>
      <c r="K59" s="65" t="str">
        <f>IF($C59='[2]4. Board Level Worksheet'!$C$5,'[2]4. Board Level Worksheet'!$C$18,"")</f>
        <v/>
      </c>
      <c r="L59" s="65" t="str">
        <f>IF($C59='[2]4. Board Level Worksheet'!$C$5,'[2]4. Board Level Worksheet'!$C$19,"")</f>
        <v/>
      </c>
      <c r="M59" s="67" t="str">
        <f>IF($C59='[2]4. Board Level Worksheet'!$C$5,'[2]4. Board Level Worksheet'!$C$21,"")</f>
        <v/>
      </c>
      <c r="N59" s="67" t="str">
        <f>IF($C59='[2]4. Board Level Worksheet'!$C$5,'[2]4. Board Level Worksheet'!$C$28,"")</f>
        <v/>
      </c>
      <c r="O59" s="67" t="str">
        <f>IF($C59='[2]4. Board Level Worksheet'!$C$5,'[2]4. Board Level Worksheet'!#REF!,"")</f>
        <v/>
      </c>
      <c r="P59" t="s">
        <v>201</v>
      </c>
      <c r="Q59" s="67">
        <v>354400</v>
      </c>
      <c r="R59" s="67">
        <v>354400</v>
      </c>
      <c r="S59" s="67">
        <v>192184</v>
      </c>
      <c r="T59" s="67">
        <v>30000</v>
      </c>
      <c r="U59" s="67">
        <v>178</v>
      </c>
      <c r="V59" s="67">
        <f t="shared" si="0"/>
        <v>178000</v>
      </c>
      <c r="W59" s="67">
        <v>229413</v>
      </c>
      <c r="X59" s="67">
        <v>174348</v>
      </c>
      <c r="Y59" s="66"/>
      <c r="Z59" s="66"/>
      <c r="AA59" s="66"/>
    </row>
    <row r="60" spans="1:27">
      <c r="A60">
        <v>58</v>
      </c>
      <c r="B60" s="89">
        <v>53</v>
      </c>
      <c r="C60" t="s">
        <v>202</v>
      </c>
      <c r="D60" s="15"/>
      <c r="E60" s="15"/>
      <c r="F60" s="15"/>
      <c r="G60" s="15"/>
      <c r="H60" s="15"/>
      <c r="I60" s="15"/>
      <c r="J60" s="15"/>
      <c r="K60" s="65" t="str">
        <f>IF($C60='[2]4. Board Level Worksheet'!$C$5,'[2]4. Board Level Worksheet'!$C$18,"")</f>
        <v/>
      </c>
      <c r="L60" s="65" t="str">
        <f>IF($C60='[2]4. Board Level Worksheet'!$C$5,'[2]4. Board Level Worksheet'!$C$19,"")</f>
        <v/>
      </c>
      <c r="M60" s="67" t="str">
        <f>IF($C60='[2]4. Board Level Worksheet'!$C$5,'[2]4. Board Level Worksheet'!$C$21,"")</f>
        <v/>
      </c>
      <c r="N60" s="67" t="str">
        <f>IF($C60='[2]4. Board Level Worksheet'!$C$5,'[2]4. Board Level Worksheet'!$C$28,"")</f>
        <v/>
      </c>
      <c r="O60" s="67" t="str">
        <f>IF($C60='[2]4. Board Level Worksheet'!$C$5,'[2]4. Board Level Worksheet'!#REF!,"")</f>
        <v/>
      </c>
      <c r="P60" t="s">
        <v>202</v>
      </c>
      <c r="Q60" s="67">
        <v>958500</v>
      </c>
      <c r="R60" s="67">
        <v>958500</v>
      </c>
      <c r="S60" s="67">
        <v>647137</v>
      </c>
      <c r="T60" s="67">
        <v>87000</v>
      </c>
      <c r="U60" s="67">
        <v>286</v>
      </c>
      <c r="V60" s="67">
        <f t="shared" si="0"/>
        <v>286000</v>
      </c>
      <c r="W60" s="67">
        <v>723003</v>
      </c>
      <c r="X60" s="67">
        <v>557084</v>
      </c>
      <c r="Y60" s="66"/>
      <c r="Z60" s="66"/>
      <c r="AA60" s="66"/>
    </row>
    <row r="61" spans="1:27">
      <c r="A61">
        <v>59</v>
      </c>
      <c r="B61" s="89">
        <v>54</v>
      </c>
      <c r="C61" t="s">
        <v>203</v>
      </c>
      <c r="D61" s="15"/>
      <c r="E61" s="15"/>
      <c r="F61" s="15"/>
      <c r="G61" s="15"/>
      <c r="H61" s="15"/>
      <c r="I61" s="15"/>
      <c r="J61" s="15"/>
      <c r="K61" s="65" t="str">
        <f>IF($C61='[2]4. Board Level Worksheet'!$C$5,'[2]4. Board Level Worksheet'!$C$18,"")</f>
        <v/>
      </c>
      <c r="L61" s="65" t="str">
        <f>IF($C61='[2]4. Board Level Worksheet'!$C$5,'[2]4. Board Level Worksheet'!$C$19,"")</f>
        <v/>
      </c>
      <c r="M61" s="67" t="str">
        <f>IF($C61='[2]4. Board Level Worksheet'!$C$5,'[2]4. Board Level Worksheet'!$C$21,"")</f>
        <v/>
      </c>
      <c r="N61" s="67" t="str">
        <f>IF($C61='[2]4. Board Level Worksheet'!$C$5,'[2]4. Board Level Worksheet'!$C$28,"")</f>
        <v/>
      </c>
      <c r="O61" s="67" t="str">
        <f>IF($C61='[2]4. Board Level Worksheet'!$C$5,'[2]4. Board Level Worksheet'!#REF!,"")</f>
        <v/>
      </c>
      <c r="P61" t="s">
        <v>203</v>
      </c>
      <c r="Q61" s="67">
        <v>194800</v>
      </c>
      <c r="R61" s="67">
        <v>194800</v>
      </c>
      <c r="S61" s="67">
        <v>75459</v>
      </c>
      <c r="T61" s="67">
        <v>14000</v>
      </c>
      <c r="U61" s="67">
        <v>104</v>
      </c>
      <c r="V61" s="67">
        <f t="shared" si="0"/>
        <v>104000</v>
      </c>
      <c r="W61" s="67">
        <v>238781</v>
      </c>
      <c r="X61" s="67">
        <v>169635</v>
      </c>
      <c r="Y61" s="66"/>
      <c r="Z61" s="66"/>
      <c r="AA61" s="66"/>
    </row>
    <row r="62" spans="1:27">
      <c r="A62">
        <v>60</v>
      </c>
      <c r="B62" s="89">
        <v>55</v>
      </c>
      <c r="C62" t="s">
        <v>204</v>
      </c>
      <c r="D62" s="15"/>
      <c r="E62" s="15"/>
      <c r="F62" s="15"/>
      <c r="G62" s="15"/>
      <c r="H62" s="15"/>
      <c r="I62" s="15"/>
      <c r="J62" s="15"/>
      <c r="K62" s="65" t="str">
        <f>IF($C62='[2]4. Board Level Worksheet'!$C$5,'[2]4. Board Level Worksheet'!$C$18,"")</f>
        <v/>
      </c>
      <c r="L62" s="65" t="str">
        <f>IF($C62='[2]4. Board Level Worksheet'!$C$5,'[2]4. Board Level Worksheet'!$C$19,"")</f>
        <v/>
      </c>
      <c r="M62" s="67" t="str">
        <f>IF($C62='[2]4. Board Level Worksheet'!$C$5,'[2]4. Board Level Worksheet'!$C$21,"")</f>
        <v/>
      </c>
      <c r="N62" s="67" t="str">
        <f>IF($C62='[2]4. Board Level Worksheet'!$C$5,'[2]4. Board Level Worksheet'!$C$28,"")</f>
        <v/>
      </c>
      <c r="O62" s="67" t="str">
        <f>IF($C62='[2]4. Board Level Worksheet'!$C$5,'[2]4. Board Level Worksheet'!#REF!,"")</f>
        <v/>
      </c>
      <c r="P62" t="s">
        <v>204</v>
      </c>
      <c r="Q62" s="67">
        <v>350400</v>
      </c>
      <c r="R62" s="67">
        <v>350400</v>
      </c>
      <c r="S62" s="67">
        <v>166326</v>
      </c>
      <c r="T62" s="67">
        <v>9000</v>
      </c>
      <c r="U62" s="67">
        <v>204</v>
      </c>
      <c r="V62" s="67">
        <f t="shared" si="0"/>
        <v>204000</v>
      </c>
      <c r="W62" s="67">
        <v>355897</v>
      </c>
      <c r="X62" s="67">
        <v>241786</v>
      </c>
      <c r="Y62" s="66"/>
      <c r="Z62" s="66"/>
      <c r="AA62" s="66"/>
    </row>
    <row r="63" spans="1:27">
      <c r="A63">
        <v>61</v>
      </c>
      <c r="B63" s="89">
        <v>56</v>
      </c>
      <c r="C63" t="s">
        <v>205</v>
      </c>
      <c r="D63" s="15"/>
      <c r="E63" s="15"/>
      <c r="F63" s="15"/>
      <c r="G63" s="15"/>
      <c r="H63" s="15"/>
      <c r="I63" s="15"/>
      <c r="J63" s="15"/>
      <c r="K63" s="65" t="str">
        <f>IF($C63='[2]4. Board Level Worksheet'!$C$5,'[2]4. Board Level Worksheet'!$C$18,"")</f>
        <v/>
      </c>
      <c r="L63" s="65" t="str">
        <f>IF($C63='[2]4. Board Level Worksheet'!$C$5,'[2]4. Board Level Worksheet'!$C$19,"")</f>
        <v/>
      </c>
      <c r="M63" s="67" t="str">
        <f>IF($C63='[2]4. Board Level Worksheet'!$C$5,'[2]4. Board Level Worksheet'!$C$21,"")</f>
        <v/>
      </c>
      <c r="N63" s="67" t="str">
        <f>IF($C63='[2]4. Board Level Worksheet'!$C$5,'[2]4. Board Level Worksheet'!$C$28,"")</f>
        <v/>
      </c>
      <c r="O63" s="67" t="str">
        <f>IF($C63='[2]4. Board Level Worksheet'!$C$5,'[2]4. Board Level Worksheet'!#REF!,"")</f>
        <v/>
      </c>
      <c r="P63" t="s">
        <v>205</v>
      </c>
      <c r="Q63" s="67">
        <v>69100</v>
      </c>
      <c r="R63" s="67">
        <v>69100</v>
      </c>
      <c r="S63" s="67">
        <v>52442</v>
      </c>
      <c r="T63" s="67">
        <v>10000</v>
      </c>
      <c r="U63" s="67">
        <v>16</v>
      </c>
      <c r="V63" s="67">
        <f t="shared" si="0"/>
        <v>16000</v>
      </c>
      <c r="W63" s="67">
        <v>46696</v>
      </c>
      <c r="X63" s="67">
        <v>40508</v>
      </c>
      <c r="Y63" s="66"/>
      <c r="Z63" s="66"/>
      <c r="AA63" s="66"/>
    </row>
    <row r="64" spans="1:27">
      <c r="A64">
        <v>62</v>
      </c>
      <c r="B64" s="89">
        <v>57</v>
      </c>
      <c r="C64" t="s">
        <v>206</v>
      </c>
      <c r="D64" s="15"/>
      <c r="E64" s="15"/>
      <c r="F64" s="15"/>
      <c r="G64" s="15"/>
      <c r="H64" s="15"/>
      <c r="I64" s="15"/>
      <c r="J64" s="15"/>
      <c r="K64" s="65" t="str">
        <f>IF($C64='[2]4. Board Level Worksheet'!$C$5,'[2]4. Board Level Worksheet'!$C$18,"")</f>
        <v/>
      </c>
      <c r="L64" s="65" t="str">
        <f>IF($C64='[2]4. Board Level Worksheet'!$C$5,'[2]4. Board Level Worksheet'!$C$19,"")</f>
        <v/>
      </c>
      <c r="M64" s="67" t="str">
        <f>IF($C64='[2]4. Board Level Worksheet'!$C$5,'[2]4. Board Level Worksheet'!$C$21,"")</f>
        <v/>
      </c>
      <c r="N64" s="67" t="str">
        <f>IF($C64='[2]4. Board Level Worksheet'!$C$5,'[2]4. Board Level Worksheet'!$C$28,"")</f>
        <v/>
      </c>
      <c r="O64" s="67" t="str">
        <f>IF($C64='[2]4. Board Level Worksheet'!$C$5,'[2]4. Board Level Worksheet'!#REF!,"")</f>
        <v/>
      </c>
      <c r="P64" t="s">
        <v>206</v>
      </c>
      <c r="Q64" s="67">
        <v>149500</v>
      </c>
      <c r="R64" s="67">
        <v>149500</v>
      </c>
      <c r="S64" s="67">
        <v>77236</v>
      </c>
      <c r="T64" s="67">
        <v>11000</v>
      </c>
      <c r="U64" s="67">
        <v>36</v>
      </c>
      <c r="V64" s="67">
        <f t="shared" si="0"/>
        <v>36000</v>
      </c>
      <c r="W64" s="67">
        <v>114511</v>
      </c>
      <c r="X64" s="67">
        <v>84796</v>
      </c>
      <c r="Y64" s="66"/>
      <c r="Z64" s="66"/>
      <c r="AA64" s="66"/>
    </row>
    <row r="65" spans="1:27">
      <c r="A65">
        <v>63</v>
      </c>
      <c r="B65" s="89">
        <v>58</v>
      </c>
      <c r="C65" t="s">
        <v>207</v>
      </c>
      <c r="D65" s="15"/>
      <c r="E65" s="15"/>
      <c r="F65" s="15"/>
      <c r="G65" s="15"/>
      <c r="H65" s="15"/>
      <c r="I65" s="15"/>
      <c r="J65" s="15"/>
      <c r="K65" s="65" t="str">
        <f>IF($C65='[2]4. Board Level Worksheet'!$C$5,'[2]4. Board Level Worksheet'!$C$18,"")</f>
        <v/>
      </c>
      <c r="L65" s="65" t="str">
        <f>IF($C65='[2]4. Board Level Worksheet'!$C$5,'[2]4. Board Level Worksheet'!$C$19,"")</f>
        <v/>
      </c>
      <c r="M65" s="67" t="str">
        <f>IF($C65='[2]4. Board Level Worksheet'!$C$5,'[2]4. Board Level Worksheet'!$C$21,"")</f>
        <v/>
      </c>
      <c r="N65" s="67" t="str">
        <f>IF($C65='[2]4. Board Level Worksheet'!$C$5,'[2]4. Board Level Worksheet'!$C$28,"")</f>
        <v/>
      </c>
      <c r="O65" s="67" t="str">
        <f>IF($C65='[2]4. Board Level Worksheet'!$C$5,'[2]4. Board Level Worksheet'!#REF!,"")</f>
        <v/>
      </c>
      <c r="P65" t="s">
        <v>207</v>
      </c>
      <c r="Q65" s="67">
        <v>509500</v>
      </c>
      <c r="R65" s="67">
        <v>509500</v>
      </c>
      <c r="S65" s="67">
        <v>230527</v>
      </c>
      <c r="T65" s="67">
        <v>45000</v>
      </c>
      <c r="U65" s="67">
        <v>67</v>
      </c>
      <c r="V65" s="67">
        <f t="shared" si="0"/>
        <v>67000</v>
      </c>
      <c r="W65" s="67">
        <v>431210</v>
      </c>
      <c r="X65" s="67">
        <v>308127</v>
      </c>
      <c r="Y65" s="66"/>
      <c r="Z65" s="66"/>
      <c r="AA65" s="66"/>
    </row>
    <row r="66" spans="1:27">
      <c r="A66">
        <v>64</v>
      </c>
      <c r="B66" s="89">
        <v>59</v>
      </c>
      <c r="C66" t="s">
        <v>208</v>
      </c>
      <c r="D66" s="15"/>
      <c r="E66" s="15"/>
      <c r="F66" s="15"/>
      <c r="G66" s="15"/>
      <c r="H66" s="15"/>
      <c r="I66" s="15"/>
      <c r="J66" s="15"/>
      <c r="K66" s="65" t="str">
        <f>IF($C66='[2]4. Board Level Worksheet'!$C$5,'[2]4. Board Level Worksheet'!$C$18,"")</f>
        <v/>
      </c>
      <c r="L66" s="65" t="str">
        <f>IF($C66='[2]4. Board Level Worksheet'!$C$5,'[2]4. Board Level Worksheet'!$C$19,"")</f>
        <v/>
      </c>
      <c r="M66" s="67" t="str">
        <f>IF($C66='[2]4. Board Level Worksheet'!$C$5,'[2]4. Board Level Worksheet'!$C$21,"")</f>
        <v/>
      </c>
      <c r="N66" s="67" t="str">
        <f>IF($C66='[2]4. Board Level Worksheet'!$C$5,'[2]4. Board Level Worksheet'!$C$28,"")</f>
        <v/>
      </c>
      <c r="O66" s="67" t="str">
        <f>IF($C66='[2]4. Board Level Worksheet'!$C$5,'[2]4. Board Level Worksheet'!#REF!,"")</f>
        <v/>
      </c>
      <c r="P66" t="s">
        <v>208</v>
      </c>
      <c r="Q66" s="67">
        <v>390300</v>
      </c>
      <c r="R66" s="67">
        <v>390300</v>
      </c>
      <c r="S66" s="67">
        <v>266663</v>
      </c>
      <c r="T66" s="67">
        <v>45000</v>
      </c>
      <c r="U66" s="67">
        <v>192</v>
      </c>
      <c r="V66" s="67">
        <f t="shared" si="0"/>
        <v>192000</v>
      </c>
      <c r="W66" s="67">
        <v>272722</v>
      </c>
      <c r="X66" s="67">
        <v>213356</v>
      </c>
      <c r="Y66" s="66"/>
      <c r="Z66" s="66"/>
      <c r="AA66" s="66"/>
    </row>
    <row r="67" spans="1:27">
      <c r="A67">
        <v>65</v>
      </c>
      <c r="B67" s="89" t="s">
        <v>20</v>
      </c>
      <c r="C67" t="s">
        <v>209</v>
      </c>
      <c r="D67" s="15"/>
      <c r="E67" s="15"/>
      <c r="F67" s="15"/>
      <c r="G67" s="15"/>
      <c r="H67" s="15"/>
      <c r="I67" s="15"/>
      <c r="J67" s="15"/>
      <c r="K67" s="65" t="str">
        <f>IF($C67='[2]4. Board Level Worksheet'!$C$5,'[2]4. Board Level Worksheet'!$C$18,"")</f>
        <v/>
      </c>
      <c r="L67" s="65" t="str">
        <f>IF($C67='[2]4. Board Level Worksheet'!$C$5,'[2]4. Board Level Worksheet'!$C$19,"")</f>
        <v/>
      </c>
      <c r="M67" s="67" t="str">
        <f>IF($C67='[2]4. Board Level Worksheet'!$C$5,'[2]4. Board Level Worksheet'!$C$21,"")</f>
        <v/>
      </c>
      <c r="N67" s="67" t="str">
        <f>IF($C67='[2]4. Board Level Worksheet'!$C$5,'[2]4. Board Level Worksheet'!$C$28,"")</f>
        <v/>
      </c>
      <c r="O67" s="67" t="str">
        <f>IF($C67='[2]4. Board Level Worksheet'!$C$5,'[2]4. Board Level Worksheet'!#REF!,"")</f>
        <v/>
      </c>
      <c r="P67" t="s">
        <v>209</v>
      </c>
      <c r="Q67" s="67">
        <v>336700</v>
      </c>
      <c r="R67" s="67">
        <v>336700</v>
      </c>
      <c r="S67" s="67">
        <v>124091</v>
      </c>
      <c r="T67" s="67">
        <v>17000</v>
      </c>
      <c r="U67" s="67">
        <v>170</v>
      </c>
      <c r="V67" s="67">
        <f t="shared" si="0"/>
        <v>170000</v>
      </c>
      <c r="W67" s="67">
        <v>336249</v>
      </c>
      <c r="X67" s="67">
        <v>224858</v>
      </c>
      <c r="Y67" s="66"/>
      <c r="Z67" s="66"/>
      <c r="AA67" s="66"/>
    </row>
    <row r="68" spans="1:27">
      <c r="A68">
        <v>66</v>
      </c>
      <c r="B68" s="89" t="s">
        <v>21</v>
      </c>
      <c r="C68" t="s">
        <v>210</v>
      </c>
      <c r="D68" s="15"/>
      <c r="E68" s="15"/>
      <c r="F68" s="15"/>
      <c r="G68" s="15"/>
      <c r="H68" s="15"/>
      <c r="I68" s="15"/>
      <c r="J68" s="15"/>
      <c r="K68" s="65" t="str">
        <f>IF($C68='[2]4. Board Level Worksheet'!$C$5,'[2]4. Board Level Worksheet'!$C$18,"")</f>
        <v/>
      </c>
      <c r="L68" s="65" t="str">
        <f>IF($C68='[2]4. Board Level Worksheet'!$C$5,'[2]4. Board Level Worksheet'!$C$19,"")</f>
        <v/>
      </c>
      <c r="M68" s="67" t="str">
        <f>IF($C68='[2]4. Board Level Worksheet'!$C$5,'[2]4. Board Level Worksheet'!$C$21,"")</f>
        <v/>
      </c>
      <c r="N68" s="67" t="str">
        <f>IF($C68='[2]4. Board Level Worksheet'!$C$5,'[2]4. Board Level Worksheet'!$C$28,"")</f>
        <v/>
      </c>
      <c r="O68" s="67" t="str">
        <f>IF($C68='[2]4. Board Level Worksheet'!$C$5,'[2]4. Board Level Worksheet'!#REF!,"")</f>
        <v/>
      </c>
      <c r="P68" t="s">
        <v>210</v>
      </c>
      <c r="Q68" s="67">
        <v>107300</v>
      </c>
      <c r="R68" s="67">
        <v>107300</v>
      </c>
      <c r="S68" s="67">
        <v>63603.999999999993</v>
      </c>
      <c r="T68" s="67">
        <v>10000</v>
      </c>
      <c r="U68" s="67">
        <v>69</v>
      </c>
      <c r="V68" s="67">
        <f t="shared" ref="V68:V85" si="1">U68*1000</f>
        <v>69000</v>
      </c>
      <c r="W68" s="67">
        <v>119045</v>
      </c>
      <c r="X68" s="67">
        <v>79131</v>
      </c>
      <c r="Y68" s="66"/>
      <c r="Z68" s="66"/>
      <c r="AA68" s="66"/>
    </row>
    <row r="69" spans="1:27">
      <c r="A69">
        <v>67</v>
      </c>
      <c r="B69" s="89">
        <v>61</v>
      </c>
      <c r="C69" t="s">
        <v>211</v>
      </c>
      <c r="D69" s="15"/>
      <c r="E69" s="15"/>
      <c r="F69" s="15"/>
      <c r="G69" s="15"/>
      <c r="H69" s="15"/>
      <c r="I69" s="15"/>
      <c r="J69" s="15"/>
      <c r="K69" s="65" t="str">
        <f>IF($C69='[2]4. Board Level Worksheet'!$C$5,'[2]4. Board Level Worksheet'!$C$18,"")</f>
        <v/>
      </c>
      <c r="L69" s="65" t="str">
        <f>IF($C69='[2]4. Board Level Worksheet'!$C$5,'[2]4. Board Level Worksheet'!$C$19,"")</f>
        <v/>
      </c>
      <c r="M69" s="67" t="str">
        <f>IF($C69='[2]4. Board Level Worksheet'!$C$5,'[2]4. Board Level Worksheet'!$C$21,"")</f>
        <v/>
      </c>
      <c r="N69" s="67" t="str">
        <f>IF($C69='[2]4. Board Level Worksheet'!$C$5,'[2]4. Board Level Worksheet'!$C$28,"")</f>
        <v/>
      </c>
      <c r="O69" s="67" t="str">
        <f>IF($C69='[2]4. Board Level Worksheet'!$C$5,'[2]4. Board Level Worksheet'!#REF!,"")</f>
        <v/>
      </c>
      <c r="P69" t="s">
        <v>211</v>
      </c>
      <c r="Q69" s="67">
        <v>370000</v>
      </c>
      <c r="R69" s="67">
        <v>370000</v>
      </c>
      <c r="S69" s="67">
        <v>119952</v>
      </c>
      <c r="T69" s="67">
        <v>28000</v>
      </c>
      <c r="U69" s="67">
        <v>385</v>
      </c>
      <c r="V69" s="67">
        <f t="shared" si="1"/>
        <v>385000</v>
      </c>
      <c r="W69" s="67">
        <v>358433</v>
      </c>
      <c r="X69" s="67">
        <v>246583</v>
      </c>
      <c r="Y69" s="66"/>
      <c r="Z69" s="66"/>
      <c r="AA69" s="66"/>
    </row>
    <row r="70" spans="1:27">
      <c r="A70">
        <v>68</v>
      </c>
      <c r="B70" s="89">
        <v>62</v>
      </c>
      <c r="C70" t="s">
        <v>212</v>
      </c>
      <c r="D70" s="15"/>
      <c r="E70" s="15"/>
      <c r="F70" s="15"/>
      <c r="G70" s="15"/>
      <c r="H70" s="15"/>
      <c r="I70" s="15"/>
      <c r="J70" s="15"/>
      <c r="K70" s="65" t="str">
        <f>IF($C70='[2]4. Board Level Worksheet'!$C$5,'[2]4. Board Level Worksheet'!$C$18,"")</f>
        <v/>
      </c>
      <c r="L70" s="65" t="str">
        <f>IF($C70='[2]4. Board Level Worksheet'!$C$5,'[2]4. Board Level Worksheet'!$C$19,"")</f>
        <v/>
      </c>
      <c r="M70" s="67" t="str">
        <f>IF($C70='[2]4. Board Level Worksheet'!$C$5,'[2]4. Board Level Worksheet'!$C$21,"")</f>
        <v/>
      </c>
      <c r="N70" s="67" t="str">
        <f>IF($C70='[2]4. Board Level Worksheet'!$C$5,'[2]4. Board Level Worksheet'!$C$28,"")</f>
        <v/>
      </c>
      <c r="O70" s="67" t="str">
        <f>IF($C70='[2]4. Board Level Worksheet'!$C$5,'[2]4. Board Level Worksheet'!#REF!,"")</f>
        <v/>
      </c>
      <c r="P70" t="s">
        <v>212</v>
      </c>
      <c r="Q70" s="67">
        <v>35800</v>
      </c>
      <c r="R70" s="67">
        <v>35800</v>
      </c>
      <c r="S70" s="67">
        <v>23341</v>
      </c>
      <c r="T70" s="67">
        <v>5000</v>
      </c>
      <c r="U70" s="67">
        <v>11</v>
      </c>
      <c r="V70" s="67">
        <f t="shared" si="1"/>
        <v>11000</v>
      </c>
      <c r="W70" s="67">
        <v>38863</v>
      </c>
      <c r="X70" s="67">
        <v>30744</v>
      </c>
      <c r="Y70" s="66"/>
      <c r="Z70" s="66"/>
      <c r="AA70" s="66"/>
    </row>
    <row r="71" spans="1:27">
      <c r="A71">
        <v>69</v>
      </c>
      <c r="B71" s="89">
        <v>63</v>
      </c>
      <c r="C71" t="s">
        <v>213</v>
      </c>
      <c r="D71" s="15"/>
      <c r="E71" s="15"/>
      <c r="F71" s="15"/>
      <c r="G71" s="15"/>
      <c r="H71" s="15"/>
      <c r="I71" s="15"/>
      <c r="J71" s="15"/>
      <c r="K71" s="65" t="str">
        <f>IF($C71='[2]4. Board Level Worksheet'!$C$5,'[2]4. Board Level Worksheet'!$C$18,"")</f>
        <v/>
      </c>
      <c r="L71" s="65" t="str">
        <f>IF($C71='[2]4. Board Level Worksheet'!$C$5,'[2]4. Board Level Worksheet'!$C$19,"")</f>
        <v/>
      </c>
      <c r="M71" s="67" t="str">
        <f>IF($C71='[2]4. Board Level Worksheet'!$C$5,'[2]4. Board Level Worksheet'!$C$21,"")</f>
        <v/>
      </c>
      <c r="N71" s="67" t="str">
        <f>IF($C71='[2]4. Board Level Worksheet'!$C$5,'[2]4. Board Level Worksheet'!$C$28,"")</f>
        <v/>
      </c>
      <c r="O71" s="67" t="str">
        <f>IF($C71='[2]4. Board Level Worksheet'!$C$5,'[2]4. Board Level Worksheet'!#REF!,"")</f>
        <v/>
      </c>
      <c r="P71" t="s">
        <v>213</v>
      </c>
      <c r="Q71" s="67">
        <v>291500</v>
      </c>
      <c r="R71" s="67">
        <v>291500</v>
      </c>
      <c r="S71" s="67">
        <v>161917</v>
      </c>
      <c r="T71" s="67">
        <v>37000</v>
      </c>
      <c r="U71" s="67">
        <v>45</v>
      </c>
      <c r="V71" s="67">
        <f t="shared" si="1"/>
        <v>45000</v>
      </c>
      <c r="W71" s="67">
        <v>131534</v>
      </c>
      <c r="X71" s="67">
        <v>110047</v>
      </c>
      <c r="Y71" s="66"/>
      <c r="Z71" s="66"/>
      <c r="AA71" s="66"/>
    </row>
    <row r="72" spans="1:27">
      <c r="A72">
        <v>70</v>
      </c>
      <c r="B72" s="89">
        <v>64</v>
      </c>
      <c r="C72" t="s">
        <v>214</v>
      </c>
      <c r="D72" s="15"/>
      <c r="E72" s="15"/>
      <c r="F72" s="15"/>
      <c r="G72" s="15"/>
      <c r="H72" s="15"/>
      <c r="I72" s="15"/>
      <c r="J72" s="15"/>
      <c r="K72" s="65" t="str">
        <f>IF($C72='[2]4. Board Level Worksheet'!$C$5,'[2]4. Board Level Worksheet'!$C$18,"")</f>
        <v/>
      </c>
      <c r="L72" s="65" t="str">
        <f>IF($C72='[2]4. Board Level Worksheet'!$C$5,'[2]4. Board Level Worksheet'!$C$19,"")</f>
        <v/>
      </c>
      <c r="M72" s="67" t="str">
        <f>IF($C72='[2]4. Board Level Worksheet'!$C$5,'[2]4. Board Level Worksheet'!$C$21,"")</f>
        <v/>
      </c>
      <c r="N72" s="67" t="str">
        <f>IF($C72='[2]4. Board Level Worksheet'!$C$5,'[2]4. Board Level Worksheet'!$C$28,"")</f>
        <v/>
      </c>
      <c r="O72" s="67" t="str">
        <f>IF($C72='[2]4. Board Level Worksheet'!$C$5,'[2]4. Board Level Worksheet'!#REF!,"")</f>
        <v/>
      </c>
      <c r="P72" t="s">
        <v>214</v>
      </c>
      <c r="Q72" s="67">
        <v>541300</v>
      </c>
      <c r="R72" s="67">
        <v>541300</v>
      </c>
      <c r="S72" s="67">
        <v>264136</v>
      </c>
      <c r="T72" s="67">
        <v>58000</v>
      </c>
      <c r="U72" s="67">
        <v>97</v>
      </c>
      <c r="V72" s="67">
        <f t="shared" si="1"/>
        <v>97000</v>
      </c>
      <c r="W72" s="67">
        <v>404356</v>
      </c>
      <c r="X72" s="67">
        <v>300469</v>
      </c>
      <c r="Y72" s="66"/>
      <c r="Z72" s="66"/>
      <c r="AA72" s="66"/>
    </row>
    <row r="73" spans="1:27">
      <c r="A73">
        <v>71</v>
      </c>
      <c r="B73" s="89">
        <v>65</v>
      </c>
      <c r="C73" t="s">
        <v>215</v>
      </c>
      <c r="D73" s="15"/>
      <c r="E73" s="15"/>
      <c r="F73" s="15"/>
      <c r="G73" s="15"/>
      <c r="H73" s="15"/>
      <c r="I73" s="15"/>
      <c r="J73" s="15"/>
      <c r="K73" s="65" t="str">
        <f>IF($C73='[2]4. Board Level Worksheet'!$C$5,'[2]4. Board Level Worksheet'!$C$18,"")</f>
        <v/>
      </c>
      <c r="L73" s="65" t="str">
        <f>IF($C73='[2]4. Board Level Worksheet'!$C$5,'[2]4. Board Level Worksheet'!$C$19,"")</f>
        <v/>
      </c>
      <c r="M73" s="67" t="str">
        <f>IF($C73='[2]4. Board Level Worksheet'!$C$5,'[2]4. Board Level Worksheet'!$C$21,"")</f>
        <v/>
      </c>
      <c r="N73" s="67" t="str">
        <f>IF($C73='[2]4. Board Level Worksheet'!$C$5,'[2]4. Board Level Worksheet'!$C$28,"")</f>
        <v/>
      </c>
      <c r="O73" s="67" t="str">
        <f>IF($C73='[2]4. Board Level Worksheet'!$C$5,'[2]4. Board Level Worksheet'!#REF!,"")</f>
        <v/>
      </c>
      <c r="P73" t="s">
        <v>215</v>
      </c>
      <c r="Q73" s="67">
        <v>370100</v>
      </c>
      <c r="R73" s="67">
        <v>370100</v>
      </c>
      <c r="S73" s="67">
        <v>197732</v>
      </c>
      <c r="T73" s="67">
        <v>32000</v>
      </c>
      <c r="U73" s="67">
        <v>116</v>
      </c>
      <c r="V73" s="67">
        <f t="shared" si="1"/>
        <v>116000</v>
      </c>
      <c r="W73" s="67">
        <v>302440</v>
      </c>
      <c r="X73" s="67">
        <v>217968</v>
      </c>
      <c r="Y73" s="66"/>
      <c r="Z73" s="66"/>
      <c r="AA73" s="66"/>
    </row>
    <row r="74" spans="1:27">
      <c r="A74">
        <v>72</v>
      </c>
      <c r="B74" s="89">
        <v>66</v>
      </c>
      <c r="C74" t="s">
        <v>216</v>
      </c>
      <c r="D74" s="15"/>
      <c r="E74" s="15"/>
      <c r="F74" s="15"/>
      <c r="G74" s="15"/>
      <c r="H74" s="15"/>
      <c r="I74" s="15"/>
      <c r="J74" s="15"/>
      <c r="K74" s="65" t="str">
        <f>IF($C74='[2]4. Board Level Worksheet'!$C$5,'[2]4. Board Level Worksheet'!$C$18,"")</f>
        <v/>
      </c>
      <c r="L74" s="65" t="str">
        <f>IF($C74='[2]4. Board Level Worksheet'!$C$5,'[2]4. Board Level Worksheet'!$C$19,"")</f>
        <v/>
      </c>
      <c r="M74" s="67" t="str">
        <f>IF($C74='[2]4. Board Level Worksheet'!$C$5,'[2]4. Board Level Worksheet'!$C$21,"")</f>
        <v/>
      </c>
      <c r="N74" s="67" t="str">
        <f>IF($C74='[2]4. Board Level Worksheet'!$C$5,'[2]4. Board Level Worksheet'!$C$28,"")</f>
        <v/>
      </c>
      <c r="O74" s="67" t="str">
        <f>IF($C74='[2]4. Board Level Worksheet'!$C$5,'[2]4. Board Level Worksheet'!#REF!,"")</f>
        <v/>
      </c>
      <c r="P74" t="s">
        <v>216</v>
      </c>
      <c r="Q74" s="67">
        <v>562700</v>
      </c>
      <c r="R74" s="67">
        <v>562700</v>
      </c>
      <c r="S74" s="67">
        <v>365240</v>
      </c>
      <c r="T74" s="67">
        <v>71000</v>
      </c>
      <c r="U74" s="67">
        <v>203</v>
      </c>
      <c r="V74" s="67">
        <f t="shared" si="1"/>
        <v>203000</v>
      </c>
      <c r="W74" s="67">
        <v>295506</v>
      </c>
      <c r="X74" s="67">
        <v>234800</v>
      </c>
      <c r="Y74" s="66"/>
      <c r="Z74" s="66"/>
      <c r="AA74" s="66"/>
    </row>
    <row r="75" spans="1:27">
      <c r="A75">
        <v>73</v>
      </c>
      <c r="B75" s="89">
        <v>100</v>
      </c>
      <c r="C75" t="s">
        <v>217</v>
      </c>
      <c r="D75" s="15"/>
      <c r="E75" s="15"/>
      <c r="F75" s="15"/>
      <c r="G75" s="15"/>
      <c r="H75" s="15"/>
      <c r="I75" s="15"/>
      <c r="J75" s="15"/>
      <c r="K75" s="65" t="str">
        <f>IF($C75='[2]4. Board Level Worksheet'!$C$5,'[2]4. Board Level Worksheet'!$C$18,"")</f>
        <v/>
      </c>
      <c r="L75" s="65" t="str">
        <f>IF($C75='[2]4. Board Level Worksheet'!$C$5,'[2]4. Board Level Worksheet'!$C$19,"")</f>
        <v/>
      </c>
      <c r="M75" s="67" t="str">
        <f>IF($C75='[2]4. Board Level Worksheet'!$C$5,'[2]4. Board Level Worksheet'!$C$21,"")</f>
        <v/>
      </c>
      <c r="N75" s="67" t="str">
        <f>IF($C75='[2]4. Board Level Worksheet'!$C$5,'[2]4. Board Level Worksheet'!$C$28,"")</f>
        <v/>
      </c>
      <c r="O75" s="67" t="str">
        <f>IF($C75='[2]4. Board Level Worksheet'!$C$5,'[2]4. Board Level Worksheet'!#REF!,"")</f>
        <v/>
      </c>
      <c r="P75" t="s">
        <v>217</v>
      </c>
      <c r="Q75" s="67">
        <v>5000</v>
      </c>
      <c r="R75" s="67">
        <v>5000</v>
      </c>
      <c r="S75" s="67">
        <v>13567</v>
      </c>
      <c r="T75" s="67">
        <v>0</v>
      </c>
      <c r="U75" s="67">
        <v>0</v>
      </c>
      <c r="V75" s="67">
        <f t="shared" si="1"/>
        <v>0</v>
      </c>
      <c r="W75" s="67" t="s">
        <v>218</v>
      </c>
      <c r="X75" s="67" t="s">
        <v>219</v>
      </c>
      <c r="Y75" s="66"/>
      <c r="Z75" s="66"/>
      <c r="AA75" s="66"/>
    </row>
    <row r="76" spans="1:27">
      <c r="A76">
        <v>74</v>
      </c>
      <c r="B76" s="89">
        <v>101</v>
      </c>
      <c r="C76" t="s">
        <v>220</v>
      </c>
      <c r="D76" s="15"/>
      <c r="E76" s="15"/>
      <c r="F76" s="15"/>
      <c r="G76" s="15"/>
      <c r="H76" s="15"/>
      <c r="I76" s="15"/>
      <c r="J76" s="15"/>
      <c r="K76" s="65" t="str">
        <f>IF($C76='[2]4. Board Level Worksheet'!$C$5,'[2]4. Board Level Worksheet'!$C$18,"")</f>
        <v/>
      </c>
      <c r="L76" s="65" t="str">
        <f>IF($C76='[2]4. Board Level Worksheet'!$C$5,'[2]4. Board Level Worksheet'!$C$19,"")</f>
        <v/>
      </c>
      <c r="M76" s="67" t="str">
        <f>IF($C76='[2]4. Board Level Worksheet'!$C$5,'[2]4. Board Level Worksheet'!$C$21,"")</f>
        <v/>
      </c>
      <c r="N76" s="67" t="str">
        <f>IF($C76='[2]4. Board Level Worksheet'!$C$5,'[2]4. Board Level Worksheet'!$C$28,"")</f>
        <v/>
      </c>
      <c r="O76" s="67" t="str">
        <f>IF($C76='[2]4. Board Level Worksheet'!$C$5,'[2]4. Board Level Worksheet'!#REF!,"")</f>
        <v/>
      </c>
      <c r="P76" t="s">
        <v>220</v>
      </c>
      <c r="Q76" s="67">
        <v>5000</v>
      </c>
      <c r="R76" s="67">
        <v>5000</v>
      </c>
      <c r="S76" s="67">
        <v>9242</v>
      </c>
      <c r="T76" s="67">
        <v>0</v>
      </c>
      <c r="U76" s="67">
        <v>20</v>
      </c>
      <c r="V76" s="67">
        <f t="shared" si="1"/>
        <v>20000</v>
      </c>
      <c r="W76" s="67" t="s">
        <v>218</v>
      </c>
      <c r="X76" s="67" t="s">
        <v>219</v>
      </c>
      <c r="Y76" s="66"/>
      <c r="Z76" s="66"/>
      <c r="AA76" s="66"/>
    </row>
    <row r="77" spans="1:27">
      <c r="A77">
        <v>75</v>
      </c>
      <c r="B77" s="89">
        <v>102</v>
      </c>
      <c r="C77" t="s">
        <v>221</v>
      </c>
      <c r="D77" s="15"/>
      <c r="E77" s="15"/>
      <c r="F77" s="15"/>
      <c r="G77" s="15"/>
      <c r="H77" s="15"/>
      <c r="I77" s="15"/>
      <c r="J77" s="15"/>
      <c r="K77" s="65" t="str">
        <f>IF($C77='[2]4. Board Level Worksheet'!$C$5,'[2]4. Board Level Worksheet'!$C$18,"")</f>
        <v/>
      </c>
      <c r="L77" s="65" t="str">
        <f>IF($C77='[2]4. Board Level Worksheet'!$C$5,'[2]4. Board Level Worksheet'!$C$19,"")</f>
        <v/>
      </c>
      <c r="M77" s="67" t="str">
        <f>IF($C77='[2]4. Board Level Worksheet'!$C$5,'[2]4. Board Level Worksheet'!$C$21,"")</f>
        <v/>
      </c>
      <c r="N77" s="67" t="str">
        <f>IF($C77='[2]4. Board Level Worksheet'!$C$5,'[2]4. Board Level Worksheet'!$C$28,"")</f>
        <v/>
      </c>
      <c r="O77" s="67" t="str">
        <f>IF($C77='[2]4. Board Level Worksheet'!$C$5,'[2]4. Board Level Worksheet'!#REF!,"")</f>
        <v/>
      </c>
      <c r="P77" t="s">
        <v>221</v>
      </c>
      <c r="Q77" s="67">
        <v>5000</v>
      </c>
      <c r="R77" s="67">
        <v>5000</v>
      </c>
      <c r="S77" s="67">
        <v>4511</v>
      </c>
      <c r="T77" s="67">
        <v>0</v>
      </c>
      <c r="U77" s="67">
        <v>21</v>
      </c>
      <c r="V77" s="67">
        <f t="shared" si="1"/>
        <v>21000</v>
      </c>
      <c r="W77" s="67" t="s">
        <v>218</v>
      </c>
      <c r="X77" s="67" t="s">
        <v>219</v>
      </c>
      <c r="Y77" s="66"/>
      <c r="Z77" s="66"/>
      <c r="AA77" s="66"/>
    </row>
    <row r="78" spans="1:27">
      <c r="A78">
        <v>76</v>
      </c>
      <c r="B78" s="89">
        <v>103</v>
      </c>
      <c r="C78" t="s">
        <v>222</v>
      </c>
      <c r="D78" s="15"/>
      <c r="E78" s="15"/>
      <c r="F78" s="15"/>
      <c r="G78" s="15"/>
      <c r="H78" s="15"/>
      <c r="I78" s="15"/>
      <c r="J78" s="15"/>
      <c r="K78" s="65" t="str">
        <f>IF($C78='[2]4. Board Level Worksheet'!$C$5,'[2]4. Board Level Worksheet'!$C$18,"")</f>
        <v/>
      </c>
      <c r="L78" s="65" t="str">
        <f>IF($C78='[2]4. Board Level Worksheet'!$C$5,'[2]4. Board Level Worksheet'!$C$19,"")</f>
        <v/>
      </c>
      <c r="M78" s="67" t="str">
        <f>IF($C78='[2]4. Board Level Worksheet'!$C$5,'[2]4. Board Level Worksheet'!$C$21,"")</f>
        <v/>
      </c>
      <c r="N78" s="67" t="str">
        <f>IF($C78='[2]4. Board Level Worksheet'!$C$5,'[2]4. Board Level Worksheet'!$C$28,"")</f>
        <v/>
      </c>
      <c r="O78" s="67" t="str">
        <f>IF($C78='[2]4. Board Level Worksheet'!$C$5,'[2]4. Board Level Worksheet'!#REF!,"")</f>
        <v/>
      </c>
      <c r="P78" t="s">
        <v>222</v>
      </c>
      <c r="Q78" s="67">
        <v>5000</v>
      </c>
      <c r="R78" s="67">
        <v>5000</v>
      </c>
      <c r="S78" s="67">
        <v>3844</v>
      </c>
      <c r="T78" s="67">
        <v>1000</v>
      </c>
      <c r="U78" s="67">
        <v>8</v>
      </c>
      <c r="V78" s="67">
        <f t="shared" si="1"/>
        <v>8000</v>
      </c>
      <c r="W78" s="67" t="s">
        <v>218</v>
      </c>
      <c r="X78" s="67" t="s">
        <v>219</v>
      </c>
      <c r="Y78" s="66"/>
      <c r="Z78" s="66"/>
      <c r="AA78" s="66"/>
    </row>
    <row r="79" spans="1:27">
      <c r="A79">
        <v>77</v>
      </c>
      <c r="B79" s="91" t="s">
        <v>223</v>
      </c>
      <c r="C79" t="s">
        <v>224</v>
      </c>
      <c r="K79" s="65" t="str">
        <f>IF($C79='[2]4. Board Level Worksheet'!$C$5,'[2]4. Board Level Worksheet'!$C$18,"")</f>
        <v/>
      </c>
      <c r="L79" s="65" t="str">
        <f>IF($C79='[2]4. Board Level Worksheet'!$C$5,'[2]4. Board Level Worksheet'!$C$19,"")</f>
        <v/>
      </c>
      <c r="M79" s="67" t="str">
        <f>IF($C79='[2]4. Board Level Worksheet'!$C$5,'[2]4. Board Level Worksheet'!$C$21,"")</f>
        <v/>
      </c>
      <c r="N79" s="67" t="str">
        <f>IF($C79='[2]4. Board Level Worksheet'!$C$5,'[2]4. Board Level Worksheet'!$C$28,"")</f>
        <v/>
      </c>
      <c r="O79" s="67" t="str">
        <f>IF($C79='[2]4. Board Level Worksheet'!$C$5,'[2]4. Board Level Worksheet'!#REF!,"")</f>
        <v/>
      </c>
      <c r="P79" t="s">
        <v>224</v>
      </c>
      <c r="Q79" s="67">
        <v>0</v>
      </c>
      <c r="R79" s="67">
        <v>0</v>
      </c>
      <c r="S79" s="67" t="s">
        <v>218</v>
      </c>
      <c r="T79" s="67">
        <v>0</v>
      </c>
      <c r="U79" s="67">
        <v>0</v>
      </c>
      <c r="V79" s="67">
        <f t="shared" si="1"/>
        <v>0</v>
      </c>
      <c r="W79" s="67" t="s">
        <v>218</v>
      </c>
      <c r="X79" s="67" t="s">
        <v>219</v>
      </c>
      <c r="Y79" s="66"/>
      <c r="Z79" s="66"/>
      <c r="AA79" s="66"/>
    </row>
    <row r="80" spans="1:27">
      <c r="A80">
        <v>78</v>
      </c>
      <c r="B80" s="91" t="s">
        <v>225</v>
      </c>
      <c r="C80" t="s">
        <v>226</v>
      </c>
      <c r="K80" s="65" t="str">
        <f>IF($C80='[2]4. Board Level Worksheet'!$C$5,'[2]4. Board Level Worksheet'!$C$18,"")</f>
        <v/>
      </c>
      <c r="L80" s="65" t="str">
        <f>IF($C80='[2]4. Board Level Worksheet'!$C$5,'[2]4. Board Level Worksheet'!$C$19,"")</f>
        <v/>
      </c>
      <c r="M80" s="67" t="str">
        <f>IF($C80='[2]4. Board Level Worksheet'!$C$5,'[2]4. Board Level Worksheet'!$C$21,"")</f>
        <v/>
      </c>
      <c r="N80" s="67" t="str">
        <f>IF($C80='[2]4. Board Level Worksheet'!$C$5,'[2]4. Board Level Worksheet'!$C$28,"")</f>
        <v/>
      </c>
      <c r="O80" s="67" t="str">
        <f>IF($C80='[2]4. Board Level Worksheet'!$C$5,'[2]4. Board Level Worksheet'!#REF!,"")</f>
        <v/>
      </c>
      <c r="P80" t="s">
        <v>226</v>
      </c>
      <c r="Q80" s="67">
        <v>0</v>
      </c>
      <c r="R80" s="67">
        <v>0</v>
      </c>
      <c r="S80" s="67" t="s">
        <v>218</v>
      </c>
      <c r="T80" s="67">
        <v>0</v>
      </c>
      <c r="U80" s="67">
        <v>0</v>
      </c>
      <c r="V80" s="67">
        <f t="shared" si="1"/>
        <v>0</v>
      </c>
      <c r="W80" s="67" t="s">
        <v>218</v>
      </c>
      <c r="X80" s="67" t="s">
        <v>219</v>
      </c>
      <c r="Y80" s="66"/>
      <c r="Z80" s="66"/>
      <c r="AA80" s="66"/>
    </row>
    <row r="81" spans="1:27">
      <c r="A81">
        <v>79</v>
      </c>
      <c r="B81" s="91" t="s">
        <v>227</v>
      </c>
      <c r="C81" t="s">
        <v>228</v>
      </c>
      <c r="K81" s="65" t="str">
        <f>IF($C81='[2]4. Board Level Worksheet'!$C$5,'[2]4. Board Level Worksheet'!$C$18,"")</f>
        <v/>
      </c>
      <c r="L81" s="65" t="str">
        <f>IF($C81='[2]4. Board Level Worksheet'!$C$5,'[2]4. Board Level Worksheet'!$C$19,"")</f>
        <v/>
      </c>
      <c r="M81" s="67" t="str">
        <f>IF($C81='[2]4. Board Level Worksheet'!$C$5,'[2]4. Board Level Worksheet'!$C$21,"")</f>
        <v/>
      </c>
      <c r="N81" s="67" t="str">
        <f>IF($C81='[2]4. Board Level Worksheet'!$C$5,'[2]4. Board Level Worksheet'!$C$28,"")</f>
        <v/>
      </c>
      <c r="O81" s="67" t="str">
        <f>IF($C81='[2]4. Board Level Worksheet'!$C$5,'[2]4. Board Level Worksheet'!#REF!,"")</f>
        <v/>
      </c>
      <c r="P81" t="s">
        <v>228</v>
      </c>
      <c r="Q81" s="67">
        <v>0</v>
      </c>
      <c r="R81" s="67">
        <v>0</v>
      </c>
      <c r="S81" s="67" t="s">
        <v>218</v>
      </c>
      <c r="T81" s="67">
        <v>0</v>
      </c>
      <c r="U81" s="67">
        <v>0</v>
      </c>
      <c r="V81" s="67">
        <f t="shared" si="1"/>
        <v>0</v>
      </c>
      <c r="W81" s="67" t="s">
        <v>218</v>
      </c>
      <c r="X81" s="67" t="s">
        <v>219</v>
      </c>
      <c r="Y81" s="66"/>
      <c r="Z81" s="66"/>
      <c r="AA81" s="66"/>
    </row>
    <row r="82" spans="1:27">
      <c r="A82">
        <v>80</v>
      </c>
      <c r="B82" s="91" t="s">
        <v>229</v>
      </c>
      <c r="C82" t="s">
        <v>230</v>
      </c>
      <c r="K82" s="65" t="str">
        <f>IF($C82='[2]4. Board Level Worksheet'!$C$5,'[2]4. Board Level Worksheet'!$C$18,"")</f>
        <v/>
      </c>
      <c r="L82" s="65" t="str">
        <f>IF($C82='[2]4. Board Level Worksheet'!$C$5,'[2]4. Board Level Worksheet'!$C$19,"")</f>
        <v/>
      </c>
      <c r="M82" s="67" t="str">
        <f>IF($C82='[2]4. Board Level Worksheet'!$C$5,'[2]4. Board Level Worksheet'!$C$21,"")</f>
        <v/>
      </c>
      <c r="N82" s="67" t="str">
        <f>IF($C82='[2]4. Board Level Worksheet'!$C$5,'[2]4. Board Level Worksheet'!$C$28,"")</f>
        <v/>
      </c>
      <c r="O82" s="67" t="str">
        <f>IF($C82='[2]4. Board Level Worksheet'!$C$5,'[2]4. Board Level Worksheet'!#REF!,"")</f>
        <v/>
      </c>
      <c r="P82" t="s">
        <v>230</v>
      </c>
      <c r="Q82" s="67">
        <v>0</v>
      </c>
      <c r="R82" s="67">
        <v>0</v>
      </c>
      <c r="S82" s="67" t="s">
        <v>218</v>
      </c>
      <c r="T82" s="67">
        <v>0</v>
      </c>
      <c r="U82" s="67">
        <v>0</v>
      </c>
      <c r="V82" s="67">
        <f t="shared" si="1"/>
        <v>0</v>
      </c>
      <c r="W82" s="67" t="s">
        <v>218</v>
      </c>
      <c r="X82" s="67" t="s">
        <v>219</v>
      </c>
      <c r="Y82" s="66"/>
      <c r="Z82" s="66"/>
      <c r="AA82" s="66"/>
    </row>
    <row r="83" spans="1:27">
      <c r="A83">
        <v>81</v>
      </c>
      <c r="B83" s="91" t="s">
        <v>231</v>
      </c>
      <c r="C83" t="s">
        <v>232</v>
      </c>
      <c r="K83" s="65" t="str">
        <f>IF($C83='[2]4. Board Level Worksheet'!$C$5,'[2]4. Board Level Worksheet'!$C$18,"")</f>
        <v/>
      </c>
      <c r="L83" s="65" t="str">
        <f>IF($C83='[2]4. Board Level Worksheet'!$C$5,'[2]4. Board Level Worksheet'!$C$19,"")</f>
        <v/>
      </c>
      <c r="M83" s="67" t="str">
        <f>IF($C83='[2]4. Board Level Worksheet'!$C$5,'[2]4. Board Level Worksheet'!$C$21,"")</f>
        <v/>
      </c>
      <c r="N83" s="67" t="str">
        <f>IF($C83='[2]4. Board Level Worksheet'!$C$5,'[2]4. Board Level Worksheet'!$C$28,"")</f>
        <v/>
      </c>
      <c r="O83" s="67" t="str">
        <f>IF($C83='[2]4. Board Level Worksheet'!$C$5,'[2]4. Board Level Worksheet'!#REF!,"")</f>
        <v/>
      </c>
      <c r="P83" t="s">
        <v>232</v>
      </c>
      <c r="Q83" s="67">
        <v>0</v>
      </c>
      <c r="R83" s="67">
        <v>0</v>
      </c>
      <c r="S83" s="67" t="s">
        <v>218</v>
      </c>
      <c r="T83" s="67">
        <v>0</v>
      </c>
      <c r="U83" s="67">
        <v>0</v>
      </c>
      <c r="V83" s="67">
        <f t="shared" si="1"/>
        <v>0</v>
      </c>
      <c r="W83" s="67" t="s">
        <v>218</v>
      </c>
      <c r="X83" s="67" t="s">
        <v>219</v>
      </c>
      <c r="Y83" s="66"/>
      <c r="Z83" s="66"/>
      <c r="AA83" s="66"/>
    </row>
    <row r="84" spans="1:27">
      <c r="A84">
        <v>82</v>
      </c>
      <c r="B84" s="91" t="s">
        <v>233</v>
      </c>
      <c r="C84" t="s">
        <v>234</v>
      </c>
      <c r="K84" s="65" t="str">
        <f>IF($C84='[2]4. Board Level Worksheet'!$C$5,'[2]4. Board Level Worksheet'!$C$18,"")</f>
        <v/>
      </c>
      <c r="L84" s="65" t="str">
        <f>IF($C84='[2]4. Board Level Worksheet'!$C$5,'[2]4. Board Level Worksheet'!$C$19,"")</f>
        <v/>
      </c>
      <c r="M84" s="67" t="str">
        <f>IF($C84='[2]4. Board Level Worksheet'!$C$5,'[2]4. Board Level Worksheet'!$C$21,"")</f>
        <v/>
      </c>
      <c r="N84" s="67" t="str">
        <f>IF($C84='[2]4. Board Level Worksheet'!$C$5,'[2]4. Board Level Worksheet'!$C$28,"")</f>
        <v/>
      </c>
      <c r="O84" s="67" t="str">
        <f>IF($C84='[2]4. Board Level Worksheet'!$C$5,'[2]4. Board Level Worksheet'!#REF!,"")</f>
        <v/>
      </c>
      <c r="P84" t="s">
        <v>234</v>
      </c>
      <c r="Q84" s="67">
        <v>0</v>
      </c>
      <c r="R84" s="67">
        <v>0</v>
      </c>
      <c r="S84" s="67" t="s">
        <v>218</v>
      </c>
      <c r="T84" s="67">
        <v>0</v>
      </c>
      <c r="U84" s="67">
        <v>0</v>
      </c>
      <c r="V84" s="67">
        <f t="shared" si="1"/>
        <v>0</v>
      </c>
      <c r="W84" s="67" t="s">
        <v>218</v>
      </c>
      <c r="X84" s="67" t="s">
        <v>219</v>
      </c>
      <c r="Y84" s="66"/>
      <c r="Z84" s="66"/>
      <c r="AA84" s="66"/>
    </row>
    <row r="85" spans="1:27">
      <c r="A85">
        <v>83</v>
      </c>
      <c r="B85" s="91" t="s">
        <v>235</v>
      </c>
      <c r="C85" t="s">
        <v>236</v>
      </c>
      <c r="K85" s="65" t="str">
        <f>IF($C85='[2]4. Board Level Worksheet'!$C$5,'[2]4. Board Level Worksheet'!$C$18,"")</f>
        <v/>
      </c>
      <c r="L85" s="65" t="str">
        <f>IF($C85='[2]4. Board Level Worksheet'!$C$5,'[2]4. Board Level Worksheet'!$C$19,"")</f>
        <v/>
      </c>
      <c r="M85" s="67" t="str">
        <f>IF($C85='[2]4. Board Level Worksheet'!$C$5,'[2]4. Board Level Worksheet'!$C$21,"")</f>
        <v/>
      </c>
      <c r="N85" s="67" t="str">
        <f>IF($C85='[2]4. Board Level Worksheet'!$C$5,'[2]4. Board Level Worksheet'!$C$28,"")</f>
        <v/>
      </c>
      <c r="O85" s="67" t="str">
        <f>IF($C85='[2]4. Board Level Worksheet'!$C$5,'[2]4. Board Level Worksheet'!#REF!,"")</f>
        <v/>
      </c>
      <c r="P85" t="s">
        <v>236</v>
      </c>
      <c r="Q85" s="67">
        <v>0</v>
      </c>
      <c r="R85" s="67">
        <v>0</v>
      </c>
      <c r="S85" s="67" t="s">
        <v>218</v>
      </c>
      <c r="T85" s="67">
        <v>0</v>
      </c>
      <c r="U85" s="67">
        <v>0</v>
      </c>
      <c r="V85" s="67">
        <f t="shared" si="1"/>
        <v>0</v>
      </c>
      <c r="W85" s="67">
        <v>5000</v>
      </c>
      <c r="X85" s="67" t="s">
        <v>219</v>
      </c>
      <c r="Y85" s="66"/>
      <c r="Z85" s="66"/>
      <c r="AA85" s="66"/>
    </row>
  </sheetData>
  <autoFilter ref="A2:C2" xr:uid="{251A6235-AEBD-45A1-A11A-C9AD6C3C7043}"/>
  <mergeCells count="2">
    <mergeCell ref="D1:E1"/>
    <mergeCell ref="F1:G1"/>
  </mergeCell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B4224-0067-4E37-902E-C162D52FC56E}">
  <sheetPr>
    <tabColor theme="9"/>
  </sheetPr>
  <dimension ref="A1:D291"/>
  <sheetViews>
    <sheetView workbookViewId="0">
      <selection activeCell="C177" sqref="C177"/>
    </sheetView>
  </sheetViews>
  <sheetFormatPr baseColWidth="10" defaultColWidth="8.7109375" defaultRowHeight="15"/>
  <cols>
    <col min="2" max="2" width="9.140625" style="112"/>
    <col min="3" max="3" width="113.85546875" style="113" customWidth="1"/>
    <col min="4" max="4" width="26.140625" customWidth="1"/>
  </cols>
  <sheetData>
    <row r="1" spans="1:4">
      <c r="A1" t="s">
        <v>1</v>
      </c>
      <c r="B1" s="100" t="s">
        <v>271</v>
      </c>
      <c r="C1" s="101" t="s">
        <v>272</v>
      </c>
      <c r="D1" t="s">
        <v>273</v>
      </c>
    </row>
    <row r="2" spans="1:4">
      <c r="A2">
        <v>1</v>
      </c>
      <c r="B2" s="102">
        <v>31</v>
      </c>
      <c r="C2" s="103" t="s">
        <v>274</v>
      </c>
      <c r="D2" t="str">
        <f>INDEX('[1]Funding Tables'!P:P,MATCH('Board Ventilation Strate-PY'!B2,'[1]Funding Tables'!B:B,0))</f>
        <v>Huron-Superior Catholic District School Board</v>
      </c>
    </row>
    <row r="3" spans="1:4">
      <c r="A3">
        <f>IF(B3=B2,A2+1,1)</f>
        <v>2</v>
      </c>
      <c r="B3" s="102">
        <v>31</v>
      </c>
      <c r="C3" s="103" t="s">
        <v>275</v>
      </c>
      <c r="D3" t="str">
        <f>INDEX('[1]Funding Tables'!P:P,MATCH('Board Ventilation Strate-PY'!B3,'[1]Funding Tables'!B:B,0))</f>
        <v>Huron-Superior Catholic District School Board</v>
      </c>
    </row>
    <row r="4" spans="1:4">
      <c r="A4">
        <f t="shared" ref="A4:A67" si="0">IF(B4=B3,A3+1,1)</f>
        <v>3</v>
      </c>
      <c r="B4" s="102">
        <v>31</v>
      </c>
      <c r="C4" s="103" t="s">
        <v>276</v>
      </c>
      <c r="D4" t="str">
        <f>INDEX('[1]Funding Tables'!P:P,MATCH('Board Ventilation Strate-PY'!B4,'[1]Funding Tables'!B:B,0))</f>
        <v>Huron-Superior Catholic District School Board</v>
      </c>
    </row>
    <row r="5" spans="1:4">
      <c r="A5">
        <f t="shared" si="0"/>
        <v>4</v>
      </c>
      <c r="B5" s="102">
        <v>31</v>
      </c>
      <c r="C5" s="103" t="s">
        <v>277</v>
      </c>
      <c r="D5" t="str">
        <f>INDEX('[1]Funding Tables'!P:P,MATCH('Board Ventilation Strate-PY'!B5,'[1]Funding Tables'!B:B,0))</f>
        <v>Huron-Superior Catholic District School Board</v>
      </c>
    </row>
    <row r="6" spans="1:4">
      <c r="A6">
        <f t="shared" si="0"/>
        <v>1</v>
      </c>
      <c r="B6" s="102">
        <v>10</v>
      </c>
      <c r="C6" s="103" t="s">
        <v>278</v>
      </c>
      <c r="D6" t="str">
        <f>INDEX('[1]Funding Tables'!P:P,MATCH('Board Ventilation Strate-PY'!B6,'[1]Funding Tables'!B:B,0))</f>
        <v>Lambton Kent District School Board</v>
      </c>
    </row>
    <row r="7" spans="1:4" ht="30">
      <c r="A7">
        <f t="shared" si="0"/>
        <v>2</v>
      </c>
      <c r="B7" s="102">
        <v>10</v>
      </c>
      <c r="C7" s="103" t="s">
        <v>279</v>
      </c>
      <c r="D7" t="str">
        <f>INDEX('[1]Funding Tables'!P:P,MATCH('Board Ventilation Strate-PY'!B7,'[1]Funding Tables'!B:B,0))</f>
        <v>Lambton Kent District School Board</v>
      </c>
    </row>
    <row r="8" spans="1:4" ht="30">
      <c r="A8">
        <f t="shared" si="0"/>
        <v>3</v>
      </c>
      <c r="B8" s="102">
        <v>10</v>
      </c>
      <c r="C8" s="103" t="s">
        <v>280</v>
      </c>
      <c r="D8" t="str">
        <f>INDEX('[1]Funding Tables'!P:P,MATCH('Board Ventilation Strate-PY'!B8,'[1]Funding Tables'!B:B,0))</f>
        <v>Lambton Kent District School Board</v>
      </c>
    </row>
    <row r="9" spans="1:4" ht="30">
      <c r="A9">
        <f t="shared" si="0"/>
        <v>4</v>
      </c>
      <c r="B9" s="102">
        <v>10</v>
      </c>
      <c r="C9" s="103" t="s">
        <v>281</v>
      </c>
      <c r="D9" t="str">
        <f>INDEX('[1]Funding Tables'!P:P,MATCH('Board Ventilation Strate-PY'!B9,'[1]Funding Tables'!B:B,0))</f>
        <v>Lambton Kent District School Board</v>
      </c>
    </row>
    <row r="10" spans="1:4">
      <c r="A10">
        <f t="shared" si="0"/>
        <v>1</v>
      </c>
      <c r="B10" s="102">
        <v>56</v>
      </c>
      <c r="C10" s="104" t="s">
        <v>282</v>
      </c>
      <c r="D10" t="str">
        <f>INDEX('[1]Funding Tables'!P:P,MATCH('Board Ventilation Strate-PY'!B10,'[1]Funding Tables'!B:B,0))</f>
        <v>Conseil scolaire public du Nord-Est de l'Ontario</v>
      </c>
    </row>
    <row r="11" spans="1:4">
      <c r="A11">
        <f t="shared" si="0"/>
        <v>2</v>
      </c>
      <c r="B11" s="102">
        <v>56</v>
      </c>
      <c r="C11" s="104" t="s">
        <v>283</v>
      </c>
      <c r="D11" t="str">
        <f>INDEX('[1]Funding Tables'!P:P,MATCH('Board Ventilation Strate-PY'!B11,'[1]Funding Tables'!B:B,0))</f>
        <v>Conseil scolaire public du Nord-Est de l'Ontario</v>
      </c>
    </row>
    <row r="12" spans="1:4">
      <c r="A12">
        <f t="shared" si="0"/>
        <v>3</v>
      </c>
      <c r="B12" s="102">
        <v>56</v>
      </c>
      <c r="C12" s="104" t="s">
        <v>284</v>
      </c>
      <c r="D12" t="str">
        <f>INDEX('[1]Funding Tables'!P:P,MATCH('Board Ventilation Strate-PY'!B12,'[1]Funding Tables'!B:B,0))</f>
        <v>Conseil scolaire public du Nord-Est de l'Ontario</v>
      </c>
    </row>
    <row r="13" spans="1:4" ht="30">
      <c r="A13">
        <f t="shared" si="0"/>
        <v>4</v>
      </c>
      <c r="B13" s="102">
        <v>56</v>
      </c>
      <c r="C13" s="104" t="s">
        <v>285</v>
      </c>
      <c r="D13" t="str">
        <f>INDEX('[1]Funding Tables'!P:P,MATCH('Board Ventilation Strate-PY'!B13,'[1]Funding Tables'!B:B,0))</f>
        <v>Conseil scolaire public du Nord-Est de l'Ontario</v>
      </c>
    </row>
    <row r="14" spans="1:4" ht="30">
      <c r="A14">
        <f t="shared" si="0"/>
        <v>1</v>
      </c>
      <c r="B14" s="102">
        <v>103</v>
      </c>
      <c r="C14" s="103" t="s">
        <v>286</v>
      </c>
      <c r="D14" t="str">
        <f>INDEX('[1]Funding Tables'!P:P,MATCH('Board Ventilation Strate-PY'!B14,'[1]Funding Tables'!B:B,0))</f>
        <v>Penetanguishene Protestant Separate School Board</v>
      </c>
    </row>
    <row r="15" spans="1:4" ht="30">
      <c r="A15">
        <f t="shared" si="0"/>
        <v>2</v>
      </c>
      <c r="B15" s="102">
        <v>103</v>
      </c>
      <c r="C15" s="103" t="s">
        <v>287</v>
      </c>
      <c r="D15" t="str">
        <f>INDEX('[1]Funding Tables'!P:P,MATCH('Board Ventilation Strate-PY'!B15,'[1]Funding Tables'!B:B,0))</f>
        <v>Penetanguishene Protestant Separate School Board</v>
      </c>
    </row>
    <row r="16" spans="1:4">
      <c r="A16">
        <f t="shared" si="0"/>
        <v>3</v>
      </c>
      <c r="B16" s="102">
        <v>103</v>
      </c>
      <c r="C16" s="103" t="s">
        <v>288</v>
      </c>
      <c r="D16" t="str">
        <f>INDEX('[1]Funding Tables'!P:P,MATCH('Board Ventilation Strate-PY'!B16,'[1]Funding Tables'!B:B,0))</f>
        <v>Penetanguishene Protestant Separate School Board</v>
      </c>
    </row>
    <row r="17" spans="1:4">
      <c r="A17">
        <f t="shared" si="0"/>
        <v>4</v>
      </c>
      <c r="B17" s="102">
        <v>103</v>
      </c>
      <c r="C17" s="103" t="s">
        <v>289</v>
      </c>
      <c r="D17" t="str">
        <f>INDEX('[1]Funding Tables'!P:P,MATCH('Board Ventilation Strate-PY'!B17,'[1]Funding Tables'!B:B,0))</f>
        <v>Penetanguishene Protestant Separate School Board</v>
      </c>
    </row>
    <row r="18" spans="1:4">
      <c r="A18">
        <f t="shared" si="0"/>
        <v>1</v>
      </c>
      <c r="B18" s="102">
        <v>59</v>
      </c>
      <c r="C18" s="105" t="s">
        <v>290</v>
      </c>
      <c r="D18" t="str">
        <f>INDEX('[1]Funding Tables'!P:P,MATCH('Board Ventilation Strate-PY'!B18,'[1]Funding Tables'!B:B,0))</f>
        <v>Conseil des écoles publiques de l'Est de l'Ontario</v>
      </c>
    </row>
    <row r="19" spans="1:4" ht="30">
      <c r="A19">
        <f t="shared" si="0"/>
        <v>2</v>
      </c>
      <c r="B19" s="102">
        <v>59</v>
      </c>
      <c r="C19" s="105" t="s">
        <v>291</v>
      </c>
      <c r="D19" t="str">
        <f>INDEX('[1]Funding Tables'!P:P,MATCH('Board Ventilation Strate-PY'!B19,'[1]Funding Tables'!B:B,0))</f>
        <v>Conseil des écoles publiques de l'Est de l'Ontario</v>
      </c>
    </row>
    <row r="20" spans="1:4" ht="30">
      <c r="A20">
        <f t="shared" si="0"/>
        <v>3</v>
      </c>
      <c r="B20" s="102">
        <v>59</v>
      </c>
      <c r="C20" s="105" t="s">
        <v>292</v>
      </c>
      <c r="D20" t="str">
        <f>INDEX('[1]Funding Tables'!P:P,MATCH('Board Ventilation Strate-PY'!B20,'[1]Funding Tables'!B:B,0))</f>
        <v>Conseil des écoles publiques de l'Est de l'Ontario</v>
      </c>
    </row>
    <row r="21" spans="1:4">
      <c r="A21">
        <f t="shared" si="0"/>
        <v>4</v>
      </c>
      <c r="B21" s="102">
        <v>59</v>
      </c>
      <c r="C21" s="105" t="s">
        <v>293</v>
      </c>
      <c r="D21" t="str">
        <f>INDEX('[1]Funding Tables'!P:P,MATCH('Board Ventilation Strate-PY'!B21,'[1]Funding Tables'!B:B,0))</f>
        <v>Conseil des écoles publiques de l'Est de l'Ontario</v>
      </c>
    </row>
    <row r="22" spans="1:4">
      <c r="A22">
        <f t="shared" si="0"/>
        <v>1</v>
      </c>
      <c r="B22" s="102">
        <v>24</v>
      </c>
      <c r="C22" s="103" t="s">
        <v>294</v>
      </c>
      <c r="D22" t="str">
        <f>INDEX('[1]Funding Tables'!P:P,MATCH('Board Ventilation Strate-PY'!B22,'[1]Funding Tables'!B:B,0))</f>
        <v>Waterloo Region District School Board</v>
      </c>
    </row>
    <row r="23" spans="1:4" ht="30">
      <c r="A23">
        <f t="shared" si="0"/>
        <v>2</v>
      </c>
      <c r="B23" s="102">
        <v>24</v>
      </c>
      <c r="C23" s="103" t="s">
        <v>295</v>
      </c>
      <c r="D23" t="str">
        <f>INDEX('[1]Funding Tables'!P:P,MATCH('Board Ventilation Strate-PY'!B23,'[1]Funding Tables'!B:B,0))</f>
        <v>Waterloo Region District School Board</v>
      </c>
    </row>
    <row r="24" spans="1:4">
      <c r="A24">
        <f t="shared" si="0"/>
        <v>3</v>
      </c>
      <c r="B24" s="102">
        <v>24</v>
      </c>
      <c r="C24" s="103" t="s">
        <v>296</v>
      </c>
      <c r="D24" t="str">
        <f>INDEX('[1]Funding Tables'!P:P,MATCH('Board Ventilation Strate-PY'!B24,'[1]Funding Tables'!B:B,0))</f>
        <v>Waterloo Region District School Board</v>
      </c>
    </row>
    <row r="25" spans="1:4" ht="30">
      <c r="A25">
        <f t="shared" si="0"/>
        <v>4</v>
      </c>
      <c r="B25" s="102">
        <v>24</v>
      </c>
      <c r="C25" s="103" t="s">
        <v>297</v>
      </c>
      <c r="D25" t="str">
        <f>INDEX('[1]Funding Tables'!P:P,MATCH('Board Ventilation Strate-PY'!B25,'[1]Funding Tables'!B:B,0))</f>
        <v>Waterloo Region District School Board</v>
      </c>
    </row>
    <row r="26" spans="1:4" ht="30">
      <c r="A26">
        <f t="shared" si="0"/>
        <v>1</v>
      </c>
      <c r="B26" s="102">
        <v>42</v>
      </c>
      <c r="C26" s="103" t="s">
        <v>298</v>
      </c>
      <c r="D26" t="str">
        <f>INDEX('[1]Funding Tables'!P:P,MATCH('Board Ventilation Strate-PY'!B26,'[1]Funding Tables'!B:B,0))</f>
        <v>York Catholic District School Board</v>
      </c>
    </row>
    <row r="27" spans="1:4">
      <c r="A27">
        <f t="shared" si="0"/>
        <v>2</v>
      </c>
      <c r="B27" s="102">
        <v>42</v>
      </c>
      <c r="C27" s="103" t="s">
        <v>299</v>
      </c>
      <c r="D27" t="str">
        <f>INDEX('[1]Funding Tables'!P:P,MATCH('Board Ventilation Strate-PY'!B27,'[1]Funding Tables'!B:B,0))</f>
        <v>York Catholic District School Board</v>
      </c>
    </row>
    <row r="28" spans="1:4">
      <c r="A28">
        <f t="shared" si="0"/>
        <v>3</v>
      </c>
      <c r="B28" s="102">
        <v>42</v>
      </c>
      <c r="C28" s="103" t="s">
        <v>300</v>
      </c>
      <c r="D28" t="str">
        <f>INDEX('[1]Funding Tables'!P:P,MATCH('Board Ventilation Strate-PY'!B28,'[1]Funding Tables'!B:B,0))</f>
        <v>York Catholic District School Board</v>
      </c>
    </row>
    <row r="29" spans="1:4" ht="30">
      <c r="A29">
        <f t="shared" si="0"/>
        <v>4</v>
      </c>
      <c r="B29" s="102">
        <v>42</v>
      </c>
      <c r="C29" s="103" t="s">
        <v>301</v>
      </c>
      <c r="D29" t="str">
        <f>INDEX('[1]Funding Tables'!P:P,MATCH('Board Ventilation Strate-PY'!B29,'[1]Funding Tables'!B:B,0))</f>
        <v>York Catholic District School Board</v>
      </c>
    </row>
    <row r="30" spans="1:4">
      <c r="A30">
        <f t="shared" si="0"/>
        <v>1</v>
      </c>
      <c r="B30" s="102" t="s">
        <v>16</v>
      </c>
      <c r="C30" s="103" t="s">
        <v>302</v>
      </c>
      <c r="D30" t="str">
        <f>INDEX('[1]Funding Tables'!P:P,MATCH('Board Ventilation Strate-PY'!B30,'[1]Funding Tables'!B:B,0))</f>
        <v>Northwest Catholic District School Board</v>
      </c>
    </row>
    <row r="31" spans="1:4">
      <c r="A31">
        <f t="shared" si="0"/>
        <v>2</v>
      </c>
      <c r="B31" s="102" t="s">
        <v>16</v>
      </c>
      <c r="C31" s="103" t="s">
        <v>303</v>
      </c>
      <c r="D31" t="str">
        <f>INDEX('[1]Funding Tables'!P:P,MATCH('Board Ventilation Strate-PY'!B31,'[1]Funding Tables'!B:B,0))</f>
        <v>Northwest Catholic District School Board</v>
      </c>
    </row>
    <row r="32" spans="1:4" ht="30">
      <c r="A32">
        <f t="shared" si="0"/>
        <v>3</v>
      </c>
      <c r="B32" s="102" t="s">
        <v>16</v>
      </c>
      <c r="C32" s="103" t="s">
        <v>304</v>
      </c>
      <c r="D32" t="str">
        <f>INDEX('[1]Funding Tables'!P:P,MATCH('Board Ventilation Strate-PY'!B32,'[1]Funding Tables'!B:B,0))</f>
        <v>Northwest Catholic District School Board</v>
      </c>
    </row>
    <row r="33" spans="1:4" ht="30">
      <c r="A33">
        <f t="shared" si="0"/>
        <v>4</v>
      </c>
      <c r="B33" s="102" t="s">
        <v>16</v>
      </c>
      <c r="C33" s="103" t="s">
        <v>305</v>
      </c>
      <c r="D33" t="str">
        <f>INDEX('[1]Funding Tables'!P:P,MATCH('Board Ventilation Strate-PY'!B33,'[1]Funding Tables'!B:B,0))</f>
        <v>Northwest Catholic District School Board</v>
      </c>
    </row>
    <row r="34" spans="1:4" ht="30">
      <c r="A34">
        <f t="shared" si="0"/>
        <v>1</v>
      </c>
      <c r="B34" s="102">
        <v>66</v>
      </c>
      <c r="C34" s="103" t="s">
        <v>306</v>
      </c>
      <c r="D34" t="str">
        <f>INDEX('[1]Funding Tables'!P:P,MATCH('Board Ventilation Strate-PY'!B34,'[1]Funding Tables'!B:B,0))</f>
        <v>Conseil scolaire de district catholique du Centre-Est de l'Ontario</v>
      </c>
    </row>
    <row r="35" spans="1:4" ht="30">
      <c r="A35">
        <f t="shared" si="0"/>
        <v>2</v>
      </c>
      <c r="B35" s="102">
        <v>66</v>
      </c>
      <c r="C35" s="103" t="s">
        <v>307</v>
      </c>
      <c r="D35" t="str">
        <f>INDEX('[1]Funding Tables'!P:P,MATCH('Board Ventilation Strate-PY'!B35,'[1]Funding Tables'!B:B,0))</f>
        <v>Conseil scolaire de district catholique du Centre-Est de l'Ontario</v>
      </c>
    </row>
    <row r="36" spans="1:4">
      <c r="A36">
        <f t="shared" si="0"/>
        <v>3</v>
      </c>
      <c r="B36" s="102">
        <v>66</v>
      </c>
      <c r="C36" s="103" t="s">
        <v>308</v>
      </c>
      <c r="D36" t="str">
        <f>INDEX('[1]Funding Tables'!P:P,MATCH('Board Ventilation Strate-PY'!B36,'[1]Funding Tables'!B:B,0))</f>
        <v>Conseil scolaire de district catholique du Centre-Est de l'Ontario</v>
      </c>
    </row>
    <row r="37" spans="1:4" ht="30">
      <c r="A37">
        <f t="shared" si="0"/>
        <v>4</v>
      </c>
      <c r="B37" s="102">
        <v>66</v>
      </c>
      <c r="C37" s="103" t="s">
        <v>309</v>
      </c>
      <c r="D37" t="str">
        <f>INDEX('[1]Funding Tables'!P:P,MATCH('Board Ventilation Strate-PY'!B37,'[1]Funding Tables'!B:B,0))</f>
        <v>Conseil scolaire de district catholique du Centre-Est de l'Ontario</v>
      </c>
    </row>
    <row r="38" spans="1:4" ht="30">
      <c r="A38">
        <f t="shared" si="0"/>
        <v>1</v>
      </c>
      <c r="B38" s="102">
        <v>26</v>
      </c>
      <c r="C38" s="103" t="s">
        <v>310</v>
      </c>
      <c r="D38" t="str">
        <f>INDEX('[1]Funding Tables'!P:P,MATCH('Board Ventilation Strate-PY'!B38,'[1]Funding Tables'!B:B,0))</f>
        <v>Upper Canada District School Board</v>
      </c>
    </row>
    <row r="39" spans="1:4" ht="30">
      <c r="A39">
        <f t="shared" si="0"/>
        <v>2</v>
      </c>
      <c r="B39" s="102">
        <v>26</v>
      </c>
      <c r="C39" s="103" t="s">
        <v>311</v>
      </c>
      <c r="D39" t="str">
        <f>INDEX('[1]Funding Tables'!P:P,MATCH('Board Ventilation Strate-PY'!B39,'[1]Funding Tables'!B:B,0))</f>
        <v>Upper Canada District School Board</v>
      </c>
    </row>
    <row r="40" spans="1:4" ht="30">
      <c r="A40">
        <f t="shared" si="0"/>
        <v>3</v>
      </c>
      <c r="B40" s="102">
        <v>26</v>
      </c>
      <c r="C40" s="103" t="s">
        <v>312</v>
      </c>
      <c r="D40" t="str">
        <f>INDEX('[1]Funding Tables'!P:P,MATCH('Board Ventilation Strate-PY'!B40,'[1]Funding Tables'!B:B,0))</f>
        <v>Upper Canada District School Board</v>
      </c>
    </row>
    <row r="41" spans="1:4" ht="30">
      <c r="A41">
        <f t="shared" si="0"/>
        <v>4</v>
      </c>
      <c r="B41" s="102">
        <v>26</v>
      </c>
      <c r="C41" s="103" t="s">
        <v>313</v>
      </c>
      <c r="D41" t="str">
        <f>INDEX('[1]Funding Tables'!P:P,MATCH('Board Ventilation Strate-PY'!B41,'[1]Funding Tables'!B:B,0))</f>
        <v>Upper Canada District School Board</v>
      </c>
    </row>
    <row r="42" spans="1:4">
      <c r="A42">
        <f t="shared" si="0"/>
        <v>1</v>
      </c>
      <c r="B42" s="102">
        <v>53</v>
      </c>
      <c r="C42" s="103" t="s">
        <v>314</v>
      </c>
      <c r="D42" t="str">
        <f>INDEX('[1]Funding Tables'!P:P,MATCH('Board Ventilation Strate-PY'!B42,'[1]Funding Tables'!B:B,0))</f>
        <v>Ottawa Catholic District School Board</v>
      </c>
    </row>
    <row r="43" spans="1:4">
      <c r="A43">
        <f t="shared" si="0"/>
        <v>2</v>
      </c>
      <c r="B43" s="102">
        <v>53</v>
      </c>
      <c r="C43" s="103" t="s">
        <v>315</v>
      </c>
      <c r="D43" t="str">
        <f>INDEX('[1]Funding Tables'!P:P,MATCH('Board Ventilation Strate-PY'!B43,'[1]Funding Tables'!B:B,0))</f>
        <v>Ottawa Catholic District School Board</v>
      </c>
    </row>
    <row r="44" spans="1:4">
      <c r="A44">
        <f t="shared" si="0"/>
        <v>3</v>
      </c>
      <c r="B44" s="102">
        <v>53</v>
      </c>
      <c r="C44" s="103" t="s">
        <v>316</v>
      </c>
      <c r="D44" t="str">
        <f>INDEX('[1]Funding Tables'!P:P,MATCH('Board Ventilation Strate-PY'!B44,'[1]Funding Tables'!B:B,0))</f>
        <v>Ottawa Catholic District School Board</v>
      </c>
    </row>
    <row r="45" spans="1:4">
      <c r="A45">
        <f t="shared" si="0"/>
        <v>4</v>
      </c>
      <c r="B45" s="102">
        <v>53</v>
      </c>
      <c r="C45" s="103" t="s">
        <v>317</v>
      </c>
      <c r="D45" t="str">
        <f>INDEX('[1]Funding Tables'!P:P,MATCH('Board Ventilation Strate-PY'!B45,'[1]Funding Tables'!B:B,0))</f>
        <v>Ottawa Catholic District School Board</v>
      </c>
    </row>
    <row r="46" spans="1:4" ht="30">
      <c r="A46">
        <f t="shared" si="0"/>
        <v>1</v>
      </c>
      <c r="B46" s="102" t="s">
        <v>11</v>
      </c>
      <c r="C46" s="103" t="s">
        <v>318</v>
      </c>
      <c r="D46" t="str">
        <f>INDEX('[1]Funding Tables'!P:P,MATCH('Board Ventilation Strate-PY'!B46,'[1]Funding Tables'!B:B,0))</f>
        <v>Rainy River District School Board</v>
      </c>
    </row>
    <row r="47" spans="1:4" ht="30">
      <c r="A47">
        <f t="shared" si="0"/>
        <v>2</v>
      </c>
      <c r="B47" s="102" t="s">
        <v>11</v>
      </c>
      <c r="C47" s="103" t="s">
        <v>319</v>
      </c>
      <c r="D47" t="str">
        <f>INDEX('[1]Funding Tables'!P:P,MATCH('Board Ventilation Strate-PY'!B47,'[1]Funding Tables'!B:B,0))</f>
        <v>Rainy River District School Board</v>
      </c>
    </row>
    <row r="48" spans="1:4">
      <c r="A48">
        <f t="shared" si="0"/>
        <v>3</v>
      </c>
      <c r="B48" s="102" t="s">
        <v>11</v>
      </c>
      <c r="C48" s="103" t="s">
        <v>320</v>
      </c>
      <c r="D48" t="str">
        <f>INDEX('[1]Funding Tables'!P:P,MATCH('Board Ventilation Strate-PY'!B48,'[1]Funding Tables'!B:B,0))</f>
        <v>Rainy River District School Board</v>
      </c>
    </row>
    <row r="49" spans="1:4" ht="30">
      <c r="A49">
        <f t="shared" si="0"/>
        <v>4</v>
      </c>
      <c r="B49" s="102" t="s">
        <v>11</v>
      </c>
      <c r="C49" s="103" t="s">
        <v>321</v>
      </c>
      <c r="D49" t="str">
        <f>INDEX('[1]Funding Tables'!P:P,MATCH('Board Ventilation Strate-PY'!B49,'[1]Funding Tables'!B:B,0))</f>
        <v>Rainy River District School Board</v>
      </c>
    </row>
    <row r="50" spans="1:4" ht="30">
      <c r="A50">
        <f t="shared" si="0"/>
        <v>1</v>
      </c>
      <c r="B50" s="102">
        <v>41</v>
      </c>
      <c r="C50" s="106" t="s">
        <v>322</v>
      </c>
      <c r="D50" t="str">
        <f>INDEX('[1]Funding Tables'!P:P,MATCH('Board Ventilation Strate-PY'!B50,'[1]Funding Tables'!B:B,0))</f>
        <v>Peterborough Victoria Northumberland and Clarington Catholic DSB</v>
      </c>
    </row>
    <row r="51" spans="1:4">
      <c r="A51">
        <f t="shared" si="0"/>
        <v>2</v>
      </c>
      <c r="B51" s="102">
        <v>41</v>
      </c>
      <c r="C51" s="103" t="s">
        <v>323</v>
      </c>
      <c r="D51" t="str">
        <f>INDEX('[1]Funding Tables'!P:P,MATCH('Board Ventilation Strate-PY'!B51,'[1]Funding Tables'!B:B,0))</f>
        <v>Peterborough Victoria Northumberland and Clarington Catholic DSB</v>
      </c>
    </row>
    <row r="52" spans="1:4">
      <c r="A52">
        <f t="shared" si="0"/>
        <v>3</v>
      </c>
      <c r="B52" s="102">
        <v>41</v>
      </c>
      <c r="C52" s="103" t="s">
        <v>324</v>
      </c>
      <c r="D52" t="str">
        <f>INDEX('[1]Funding Tables'!P:P,MATCH('Board Ventilation Strate-PY'!B52,'[1]Funding Tables'!B:B,0))</f>
        <v>Peterborough Victoria Northumberland and Clarington Catholic DSB</v>
      </c>
    </row>
    <row r="53" spans="1:4">
      <c r="A53">
        <f t="shared" si="0"/>
        <v>4</v>
      </c>
      <c r="B53" s="102">
        <v>41</v>
      </c>
      <c r="C53" s="103" t="s">
        <v>325</v>
      </c>
      <c r="D53" t="str">
        <f>INDEX('[1]Funding Tables'!P:P,MATCH('Board Ventilation Strate-PY'!B53,'[1]Funding Tables'!B:B,0))</f>
        <v>Peterborough Victoria Northumberland and Clarington Catholic DSB</v>
      </c>
    </row>
    <row r="54" spans="1:4">
      <c r="A54">
        <f t="shared" si="0"/>
        <v>1</v>
      </c>
      <c r="B54" s="102" t="s">
        <v>19</v>
      </c>
      <c r="C54" s="103" t="s">
        <v>326</v>
      </c>
      <c r="D54" t="str">
        <f>INDEX('[1]Funding Tables'!P:P,MATCH('Board Ventilation Strate-PY'!B54,'[1]Funding Tables'!B:B,0))</f>
        <v>Superior North Catholic District School Board</v>
      </c>
    </row>
    <row r="55" spans="1:4">
      <c r="A55">
        <f t="shared" si="0"/>
        <v>2</v>
      </c>
      <c r="B55" s="102" t="s">
        <v>19</v>
      </c>
      <c r="C55" s="103" t="s">
        <v>327</v>
      </c>
      <c r="D55" t="str">
        <f>INDEX('[1]Funding Tables'!P:P,MATCH('Board Ventilation Strate-PY'!B55,'[1]Funding Tables'!B:B,0))</f>
        <v>Superior North Catholic District School Board</v>
      </c>
    </row>
    <row r="56" spans="1:4">
      <c r="A56">
        <f t="shared" si="0"/>
        <v>3</v>
      </c>
      <c r="B56" s="102" t="s">
        <v>19</v>
      </c>
      <c r="C56" s="103" t="s">
        <v>328</v>
      </c>
      <c r="D56" t="str">
        <f>INDEX('[1]Funding Tables'!P:P,MATCH('Board Ventilation Strate-PY'!B56,'[1]Funding Tables'!B:B,0))</f>
        <v>Superior North Catholic District School Board</v>
      </c>
    </row>
    <row r="57" spans="1:4">
      <c r="A57">
        <f t="shared" si="0"/>
        <v>4</v>
      </c>
      <c r="B57" s="102" t="s">
        <v>19</v>
      </c>
      <c r="C57" s="103" t="s">
        <v>329</v>
      </c>
      <c r="D57" t="str">
        <f>INDEX('[1]Funding Tables'!P:P,MATCH('Board Ventilation Strate-PY'!B57,'[1]Funding Tables'!B:B,0))</f>
        <v>Superior North Catholic District School Board</v>
      </c>
    </row>
    <row r="58" spans="1:4" ht="30">
      <c r="A58">
        <f t="shared" si="0"/>
        <v>1</v>
      </c>
      <c r="B58" s="102">
        <v>61</v>
      </c>
      <c r="C58" s="103" t="s">
        <v>330</v>
      </c>
      <c r="D58" t="str">
        <f>INDEX('[1]Funding Tables'!P:P,MATCH('Board Ventilation Strate-PY'!B58,'[1]Funding Tables'!B:B,0))</f>
        <v>Conseil scolaire de district catholique du Nouvel-Ontario</v>
      </c>
    </row>
    <row r="59" spans="1:4" ht="30">
      <c r="A59">
        <f t="shared" si="0"/>
        <v>2</v>
      </c>
      <c r="B59" s="102">
        <v>61</v>
      </c>
      <c r="C59" s="103" t="s">
        <v>331</v>
      </c>
      <c r="D59" t="str">
        <f>INDEX('[1]Funding Tables'!P:P,MATCH('Board Ventilation Strate-PY'!B59,'[1]Funding Tables'!B:B,0))</f>
        <v>Conseil scolaire de district catholique du Nouvel-Ontario</v>
      </c>
    </row>
    <row r="60" spans="1:4">
      <c r="A60">
        <f t="shared" si="0"/>
        <v>3</v>
      </c>
      <c r="B60" s="102">
        <v>61</v>
      </c>
      <c r="C60" s="103" t="s">
        <v>332</v>
      </c>
      <c r="D60" t="str">
        <f>INDEX('[1]Funding Tables'!P:P,MATCH('Board Ventilation Strate-PY'!B60,'[1]Funding Tables'!B:B,0))</f>
        <v>Conseil scolaire de district catholique du Nouvel-Ontario</v>
      </c>
    </row>
    <row r="61" spans="1:4">
      <c r="A61">
        <f t="shared" si="0"/>
        <v>4</v>
      </c>
      <c r="B61" s="102">
        <v>61</v>
      </c>
      <c r="C61" s="103" t="s">
        <v>333</v>
      </c>
      <c r="D61" t="str">
        <f>INDEX('[1]Funding Tables'!P:P,MATCH('Board Ventilation Strate-PY'!B61,'[1]Funding Tables'!B:B,0))</f>
        <v>Conseil scolaire de district catholique du Nouvel-Ontario</v>
      </c>
    </row>
    <row r="62" spans="1:4" ht="30">
      <c r="A62">
        <f t="shared" si="0"/>
        <v>1</v>
      </c>
      <c r="B62" s="102" t="s">
        <v>18</v>
      </c>
      <c r="C62" s="103" t="s">
        <v>334</v>
      </c>
      <c r="D62" t="str">
        <f>INDEX('[1]Funding Tables'!P:P,MATCH('Board Ventilation Strate-PY'!B62,'[1]Funding Tables'!B:B,0))</f>
        <v>Thunder Bay Catholic District School Board</v>
      </c>
    </row>
    <row r="63" spans="1:4" ht="30">
      <c r="A63">
        <f t="shared" si="0"/>
        <v>2</v>
      </c>
      <c r="B63" s="102" t="s">
        <v>18</v>
      </c>
      <c r="C63" s="103" t="s">
        <v>335</v>
      </c>
      <c r="D63" t="str">
        <f>INDEX('[1]Funding Tables'!P:P,MATCH('Board Ventilation Strate-PY'!B63,'[1]Funding Tables'!B:B,0))</f>
        <v>Thunder Bay Catholic District School Board</v>
      </c>
    </row>
    <row r="64" spans="1:4">
      <c r="A64">
        <f t="shared" si="0"/>
        <v>3</v>
      </c>
      <c r="B64" s="102" t="s">
        <v>18</v>
      </c>
      <c r="C64" s="103" t="s">
        <v>336</v>
      </c>
      <c r="D64" t="str">
        <f>INDEX('[1]Funding Tables'!P:P,MATCH('Board Ventilation Strate-PY'!B64,'[1]Funding Tables'!B:B,0))</f>
        <v>Thunder Bay Catholic District School Board</v>
      </c>
    </row>
    <row r="65" spans="1:4">
      <c r="A65">
        <f t="shared" si="0"/>
        <v>4</v>
      </c>
      <c r="B65" s="102" t="s">
        <v>18</v>
      </c>
      <c r="C65" s="103" t="s">
        <v>337</v>
      </c>
      <c r="D65" t="str">
        <f>INDEX('[1]Funding Tables'!P:P,MATCH('Board Ventilation Strate-PY'!B65,'[1]Funding Tables'!B:B,0))</f>
        <v>Thunder Bay Catholic District School Board</v>
      </c>
    </row>
    <row r="66" spans="1:4" ht="30">
      <c r="A66">
        <f t="shared" si="0"/>
        <v>1</v>
      </c>
      <c r="B66" s="102">
        <v>21</v>
      </c>
      <c r="C66" s="103" t="s">
        <v>338</v>
      </c>
      <c r="D66" t="str">
        <f>INDEX('[1]Funding Tables'!P:P,MATCH('Board Ventilation Strate-PY'!B66,'[1]Funding Tables'!B:B,0))</f>
        <v>Hamilton-Wentworth District School Board</v>
      </c>
    </row>
    <row r="67" spans="1:4" ht="30">
      <c r="A67">
        <f t="shared" si="0"/>
        <v>2</v>
      </c>
      <c r="B67" s="102">
        <v>21</v>
      </c>
      <c r="C67" s="103" t="s">
        <v>339</v>
      </c>
      <c r="D67" t="str">
        <f>INDEX('[1]Funding Tables'!P:P,MATCH('Board Ventilation Strate-PY'!B67,'[1]Funding Tables'!B:B,0))</f>
        <v>Hamilton-Wentworth District School Board</v>
      </c>
    </row>
    <row r="68" spans="1:4">
      <c r="A68">
        <f t="shared" ref="A68:A131" si="1">IF(B68=B67,A67+1,1)</f>
        <v>3</v>
      </c>
      <c r="B68" s="102">
        <v>21</v>
      </c>
      <c r="C68" s="103" t="s">
        <v>340</v>
      </c>
      <c r="D68" t="str">
        <f>INDEX('[1]Funding Tables'!P:P,MATCH('Board Ventilation Strate-PY'!B68,'[1]Funding Tables'!B:B,0))</f>
        <v>Hamilton-Wentworth District School Board</v>
      </c>
    </row>
    <row r="69" spans="1:4" ht="30">
      <c r="A69">
        <f t="shared" si="1"/>
        <v>4</v>
      </c>
      <c r="B69" s="102">
        <v>21</v>
      </c>
      <c r="C69" s="103" t="s">
        <v>341</v>
      </c>
      <c r="D69" t="str">
        <f>INDEX('[1]Funding Tables'!P:P,MATCH('Board Ventilation Strate-PY'!B69,'[1]Funding Tables'!B:B,0))</f>
        <v>Hamilton-Wentworth District School Board</v>
      </c>
    </row>
    <row r="70" spans="1:4" ht="30">
      <c r="A70">
        <f t="shared" si="1"/>
        <v>1</v>
      </c>
      <c r="B70" s="102">
        <v>63</v>
      </c>
      <c r="C70" s="103" t="s">
        <v>342</v>
      </c>
      <c r="D70" t="str">
        <f>INDEX('[1]Funding Tables'!P:P,MATCH('Board Ventilation Strate-PY'!B70,'[1]Funding Tables'!B:B,0))</f>
        <v>Conseil scolaire catholique Providence</v>
      </c>
    </row>
    <row r="71" spans="1:4">
      <c r="A71">
        <f t="shared" si="1"/>
        <v>2</v>
      </c>
      <c r="B71" s="102">
        <v>63</v>
      </c>
      <c r="C71" s="103" t="s">
        <v>343</v>
      </c>
      <c r="D71" t="str">
        <f>INDEX('[1]Funding Tables'!P:P,MATCH('Board Ventilation Strate-PY'!B71,'[1]Funding Tables'!B:B,0))</f>
        <v>Conseil scolaire catholique Providence</v>
      </c>
    </row>
    <row r="72" spans="1:4">
      <c r="A72">
        <f t="shared" si="1"/>
        <v>3</v>
      </c>
      <c r="B72" s="102">
        <v>63</v>
      </c>
      <c r="C72" s="103" t="s">
        <v>344</v>
      </c>
      <c r="D72" t="str">
        <f>INDEX('[1]Funding Tables'!P:P,MATCH('Board Ventilation Strate-PY'!B72,'[1]Funding Tables'!B:B,0))</f>
        <v>Conseil scolaire catholique Providence</v>
      </c>
    </row>
    <row r="73" spans="1:4">
      <c r="A73">
        <f t="shared" si="1"/>
        <v>4</v>
      </c>
      <c r="B73" s="102">
        <v>63</v>
      </c>
      <c r="C73" s="103" t="s">
        <v>345</v>
      </c>
      <c r="D73" t="str">
        <f>INDEX('[1]Funding Tables'!P:P,MATCH('Board Ventilation Strate-PY'!B73,'[1]Funding Tables'!B:B,0))</f>
        <v>Conseil scolaire catholique Providence</v>
      </c>
    </row>
    <row r="74" spans="1:4">
      <c r="A74">
        <f t="shared" si="1"/>
        <v>1</v>
      </c>
      <c r="B74" s="102">
        <v>16</v>
      </c>
      <c r="C74" s="103" t="s">
        <v>346</v>
      </c>
      <c r="D74" t="str">
        <f>INDEX('[1]Funding Tables'!P:P,MATCH('Board Ventilation Strate-PY'!B74,'[1]Funding Tables'!B:B,0))</f>
        <v>York Region District School Board</v>
      </c>
    </row>
    <row r="75" spans="1:4">
      <c r="A75">
        <f t="shared" si="1"/>
        <v>2</v>
      </c>
      <c r="B75" s="102">
        <v>16</v>
      </c>
      <c r="C75" s="103" t="s">
        <v>347</v>
      </c>
      <c r="D75" t="str">
        <f>INDEX('[1]Funding Tables'!P:P,MATCH('Board Ventilation Strate-PY'!B75,'[1]Funding Tables'!B:B,0))</f>
        <v>York Region District School Board</v>
      </c>
    </row>
    <row r="76" spans="1:4">
      <c r="A76">
        <f t="shared" si="1"/>
        <v>3</v>
      </c>
      <c r="B76" s="102">
        <v>16</v>
      </c>
      <c r="C76" s="103" t="s">
        <v>348</v>
      </c>
      <c r="D76" t="str">
        <f>INDEX('[1]Funding Tables'!P:P,MATCH('Board Ventilation Strate-PY'!B76,'[1]Funding Tables'!B:B,0))</f>
        <v>York Region District School Board</v>
      </c>
    </row>
    <row r="77" spans="1:4" ht="30">
      <c r="A77">
        <f t="shared" si="1"/>
        <v>4</v>
      </c>
      <c r="B77" s="102">
        <v>16</v>
      </c>
      <c r="C77" s="103" t="s">
        <v>349</v>
      </c>
      <c r="D77" t="str">
        <f>INDEX('[1]Funding Tables'!P:P,MATCH('Board Ventilation Strate-PY'!B77,'[1]Funding Tables'!B:B,0))</f>
        <v>York Region District School Board</v>
      </c>
    </row>
    <row r="78" spans="1:4" ht="30">
      <c r="A78">
        <f t="shared" si="1"/>
        <v>1</v>
      </c>
      <c r="B78" s="102">
        <v>38</v>
      </c>
      <c r="C78" s="103" t="s">
        <v>350</v>
      </c>
      <c r="D78" t="str">
        <f>INDEX('[1]Funding Tables'!P:P,MATCH('Board Ventilation Strate-PY'!B78,'[1]Funding Tables'!B:B,0))</f>
        <v>London District Catholic School Board</v>
      </c>
    </row>
    <row r="79" spans="1:4" ht="30">
      <c r="A79">
        <f t="shared" si="1"/>
        <v>2</v>
      </c>
      <c r="B79" s="102">
        <v>38</v>
      </c>
      <c r="C79" s="103" t="s">
        <v>351</v>
      </c>
      <c r="D79" t="str">
        <f>INDEX('[1]Funding Tables'!P:P,MATCH('Board Ventilation Strate-PY'!B79,'[1]Funding Tables'!B:B,0))</f>
        <v>London District Catholic School Board</v>
      </c>
    </row>
    <row r="80" spans="1:4" ht="30">
      <c r="A80">
        <f t="shared" si="1"/>
        <v>3</v>
      </c>
      <c r="B80" s="102">
        <v>38</v>
      </c>
      <c r="C80" s="103" t="s">
        <v>352</v>
      </c>
      <c r="D80" t="str">
        <f>INDEX('[1]Funding Tables'!P:P,MATCH('Board Ventilation Strate-PY'!B80,'[1]Funding Tables'!B:B,0))</f>
        <v>London District Catholic School Board</v>
      </c>
    </row>
    <row r="81" spans="1:4" ht="30">
      <c r="A81">
        <f t="shared" si="1"/>
        <v>4</v>
      </c>
      <c r="B81" s="102">
        <v>38</v>
      </c>
      <c r="C81" s="103" t="s">
        <v>353</v>
      </c>
      <c r="D81" t="str">
        <f>INDEX('[1]Funding Tables'!P:P,MATCH('Board Ventilation Strate-PY'!B81,'[1]Funding Tables'!B:B,0))</f>
        <v>London District Catholic School Board</v>
      </c>
    </row>
    <row r="82" spans="1:4" ht="30">
      <c r="A82">
        <f t="shared" si="1"/>
        <v>1</v>
      </c>
      <c r="B82" s="102">
        <v>14</v>
      </c>
      <c r="C82" s="103" t="s">
        <v>354</v>
      </c>
      <c r="D82" t="str">
        <f>INDEX('[1]Funding Tables'!P:P,MATCH('Board Ventilation Strate-PY'!B82,'[1]Funding Tables'!B:B,0))</f>
        <v>Kawartha Pine Ridge District School Board</v>
      </c>
    </row>
    <row r="83" spans="1:4">
      <c r="A83">
        <f t="shared" si="1"/>
        <v>2</v>
      </c>
      <c r="B83" s="102">
        <v>14</v>
      </c>
      <c r="C83" s="103" t="s">
        <v>355</v>
      </c>
      <c r="D83" t="str">
        <f>INDEX('[1]Funding Tables'!P:P,MATCH('Board Ventilation Strate-PY'!B83,'[1]Funding Tables'!B:B,0))</f>
        <v>Kawartha Pine Ridge District School Board</v>
      </c>
    </row>
    <row r="84" spans="1:4" ht="30">
      <c r="A84">
        <f t="shared" si="1"/>
        <v>3</v>
      </c>
      <c r="B84" s="102">
        <v>14</v>
      </c>
      <c r="C84" s="103" t="s">
        <v>356</v>
      </c>
      <c r="D84" t="str">
        <f>INDEX('[1]Funding Tables'!P:P,MATCH('Board Ventilation Strate-PY'!B84,'[1]Funding Tables'!B:B,0))</f>
        <v>Kawartha Pine Ridge District School Board</v>
      </c>
    </row>
    <row r="85" spans="1:4">
      <c r="A85">
        <f t="shared" si="1"/>
        <v>4</v>
      </c>
      <c r="B85" s="102">
        <v>14</v>
      </c>
      <c r="C85" s="103" t="s">
        <v>357</v>
      </c>
      <c r="D85" t="str">
        <f>INDEX('[1]Funding Tables'!P:P,MATCH('Board Ventilation Strate-PY'!B85,'[1]Funding Tables'!B:B,0))</f>
        <v>Kawartha Pine Ridge District School Board</v>
      </c>
    </row>
    <row r="86" spans="1:4">
      <c r="A86">
        <f t="shared" si="1"/>
        <v>1</v>
      </c>
      <c r="B86" s="102">
        <v>9</v>
      </c>
      <c r="C86" s="103" t="s">
        <v>358</v>
      </c>
      <c r="D86" t="str">
        <f>INDEX('[1]Funding Tables'!P:P,MATCH('Board Ventilation Strate-PY'!B86,'[1]Funding Tables'!B:B,0))</f>
        <v>Greater Essex County District School Board</v>
      </c>
    </row>
    <row r="87" spans="1:4" ht="30">
      <c r="A87">
        <f t="shared" si="1"/>
        <v>2</v>
      </c>
      <c r="B87" s="102">
        <v>9</v>
      </c>
      <c r="C87" s="103" t="s">
        <v>359</v>
      </c>
      <c r="D87" t="str">
        <f>INDEX('[1]Funding Tables'!P:P,MATCH('Board Ventilation Strate-PY'!B87,'[1]Funding Tables'!B:B,0))</f>
        <v>Greater Essex County District School Board</v>
      </c>
    </row>
    <row r="88" spans="1:4">
      <c r="A88">
        <f t="shared" si="1"/>
        <v>3</v>
      </c>
      <c r="B88" s="102">
        <v>9</v>
      </c>
      <c r="C88" s="103" t="s">
        <v>360</v>
      </c>
      <c r="D88" t="str">
        <f>INDEX('[1]Funding Tables'!P:P,MATCH('Board Ventilation Strate-PY'!B88,'[1]Funding Tables'!B:B,0))</f>
        <v>Greater Essex County District School Board</v>
      </c>
    </row>
    <row r="89" spans="1:4" ht="30">
      <c r="A89">
        <f t="shared" si="1"/>
        <v>4</v>
      </c>
      <c r="B89" s="102">
        <v>9</v>
      </c>
      <c r="C89" s="103" t="s">
        <v>361</v>
      </c>
      <c r="D89" t="str">
        <f>INDEX('[1]Funding Tables'!P:P,MATCH('Board Ventilation Strate-PY'!B89,'[1]Funding Tables'!B:B,0))</f>
        <v>Greater Essex County District School Board</v>
      </c>
    </row>
    <row r="90" spans="1:4">
      <c r="A90">
        <f t="shared" si="1"/>
        <v>1</v>
      </c>
      <c r="B90" s="102" t="s">
        <v>20</v>
      </c>
      <c r="C90" s="103" t="s">
        <v>362</v>
      </c>
      <c r="D90" t="str">
        <f>INDEX('[1]Funding Tables'!P:P,MATCH('Board Ventilation Strate-PY'!B90,'[1]Funding Tables'!B:B,0))</f>
        <v>Conseil scolaire de district catholique  des Grandes Rivières</v>
      </c>
    </row>
    <row r="91" spans="1:4">
      <c r="A91">
        <f t="shared" si="1"/>
        <v>2</v>
      </c>
      <c r="B91" s="102" t="s">
        <v>20</v>
      </c>
      <c r="C91" s="103" t="s">
        <v>363</v>
      </c>
      <c r="D91" t="str">
        <f>INDEX('[1]Funding Tables'!P:P,MATCH('Board Ventilation Strate-PY'!B91,'[1]Funding Tables'!B:B,0))</f>
        <v>Conseil scolaire de district catholique  des Grandes Rivières</v>
      </c>
    </row>
    <row r="92" spans="1:4">
      <c r="A92">
        <f t="shared" si="1"/>
        <v>3</v>
      </c>
      <c r="B92" s="102" t="s">
        <v>20</v>
      </c>
      <c r="C92" s="103" t="s">
        <v>364</v>
      </c>
      <c r="D92" t="str">
        <f>INDEX('[1]Funding Tables'!P:P,MATCH('Board Ventilation Strate-PY'!B92,'[1]Funding Tables'!B:B,0))</f>
        <v>Conseil scolaire de district catholique  des Grandes Rivières</v>
      </c>
    </row>
    <row r="93" spans="1:4">
      <c r="A93">
        <f t="shared" si="1"/>
        <v>4</v>
      </c>
      <c r="B93" s="102" t="s">
        <v>20</v>
      </c>
      <c r="C93" s="103" t="s">
        <v>365</v>
      </c>
      <c r="D93" t="str">
        <f>INDEX('[1]Funding Tables'!P:P,MATCH('Board Ventilation Strate-PY'!B93,'[1]Funding Tables'!B:B,0))</f>
        <v>Conseil scolaire de district catholique  des Grandes Rivières</v>
      </c>
    </row>
    <row r="94" spans="1:4" ht="30">
      <c r="A94">
        <f t="shared" si="1"/>
        <v>1</v>
      </c>
      <c r="B94" s="102" t="s">
        <v>21</v>
      </c>
      <c r="C94" s="103" t="s">
        <v>366</v>
      </c>
      <c r="D94" t="str">
        <f>INDEX('[1]Funding Tables'!P:P,MATCH('Board Ventilation Strate-PY'!B94,'[1]Funding Tables'!B:B,0))</f>
        <v>Conseil scolaire de district catholique Franco-Nord</v>
      </c>
    </row>
    <row r="95" spans="1:4" ht="30">
      <c r="A95">
        <f t="shared" si="1"/>
        <v>2</v>
      </c>
      <c r="B95" s="102" t="s">
        <v>21</v>
      </c>
      <c r="C95" s="103" t="s">
        <v>367</v>
      </c>
      <c r="D95" t="str">
        <f>INDEX('[1]Funding Tables'!P:P,MATCH('Board Ventilation Strate-PY'!B95,'[1]Funding Tables'!B:B,0))</f>
        <v>Conseil scolaire de district catholique Franco-Nord</v>
      </c>
    </row>
    <row r="96" spans="1:4" ht="30">
      <c r="A96">
        <f t="shared" si="1"/>
        <v>3</v>
      </c>
      <c r="B96" s="102" t="s">
        <v>21</v>
      </c>
      <c r="C96" s="103" t="s">
        <v>368</v>
      </c>
      <c r="D96" t="str">
        <f>INDEX('[1]Funding Tables'!P:P,MATCH('Board Ventilation Strate-PY'!B96,'[1]Funding Tables'!B:B,0))</f>
        <v>Conseil scolaire de district catholique Franco-Nord</v>
      </c>
    </row>
    <row r="97" spans="1:4">
      <c r="A97">
        <f t="shared" si="1"/>
        <v>4</v>
      </c>
      <c r="B97" s="102" t="s">
        <v>21</v>
      </c>
      <c r="C97" s="103" t="s">
        <v>369</v>
      </c>
      <c r="D97" t="str">
        <f>INDEX('[1]Funding Tables'!P:P,MATCH('Board Ventilation Strate-PY'!B97,'[1]Funding Tables'!B:B,0))</f>
        <v>Conseil scolaire de district catholique Franco-Nord</v>
      </c>
    </row>
    <row r="98" spans="1:4" ht="47.25">
      <c r="A98">
        <f t="shared" si="1"/>
        <v>1</v>
      </c>
      <c r="B98" s="102">
        <v>29</v>
      </c>
      <c r="C98" s="107" t="s">
        <v>370</v>
      </c>
      <c r="D98" t="str">
        <f>INDEX('[1]Funding Tables'!P:P,MATCH('Board Ventilation Strate-PY'!B98,'[1]Funding Tables'!B:B,0))</f>
        <v>Hastings and Prince Edward District School Board</v>
      </c>
    </row>
    <row r="99" spans="1:4" ht="31.5">
      <c r="A99">
        <f t="shared" si="1"/>
        <v>2</v>
      </c>
      <c r="B99" s="102">
        <v>29</v>
      </c>
      <c r="C99" s="108" t="s">
        <v>371</v>
      </c>
      <c r="D99" t="str">
        <f>INDEX('[1]Funding Tables'!P:P,MATCH('Board Ventilation Strate-PY'!B99,'[1]Funding Tables'!B:B,0))</f>
        <v>Hastings and Prince Edward District School Board</v>
      </c>
    </row>
    <row r="100" spans="1:4" ht="31.5">
      <c r="A100">
        <f t="shared" si="1"/>
        <v>3</v>
      </c>
      <c r="B100" s="102">
        <v>29</v>
      </c>
      <c r="C100" s="108" t="s">
        <v>372</v>
      </c>
      <c r="D100" t="str">
        <f>INDEX('[1]Funding Tables'!P:P,MATCH('Board Ventilation Strate-PY'!B100,'[1]Funding Tables'!B:B,0))</f>
        <v>Hastings and Prince Edward District School Board</v>
      </c>
    </row>
    <row r="101" spans="1:4" ht="31.5">
      <c r="A101">
        <f t="shared" si="1"/>
        <v>4</v>
      </c>
      <c r="B101" s="102">
        <v>29</v>
      </c>
      <c r="C101" s="108" t="s">
        <v>373</v>
      </c>
      <c r="D101" t="str">
        <f>INDEX('[1]Funding Tables'!P:P,MATCH('Board Ventilation Strate-PY'!B101,'[1]Funding Tables'!B:B,0))</f>
        <v>Hastings and Prince Edward District School Board</v>
      </c>
    </row>
    <row r="102" spans="1:4">
      <c r="A102">
        <f t="shared" si="1"/>
        <v>1</v>
      </c>
      <c r="B102" s="102">
        <v>28</v>
      </c>
      <c r="C102" s="103" t="s">
        <v>374</v>
      </c>
      <c r="D102" t="str">
        <f>INDEX('[1]Funding Tables'!P:P,MATCH('Board Ventilation Strate-PY'!B102,'[1]Funding Tables'!B:B,0))</f>
        <v>Renfrew County District School Board</v>
      </c>
    </row>
    <row r="103" spans="1:4">
      <c r="A103">
        <f t="shared" si="1"/>
        <v>2</v>
      </c>
      <c r="B103" s="102">
        <v>28</v>
      </c>
      <c r="C103" s="103" t="s">
        <v>375</v>
      </c>
      <c r="D103" t="str">
        <f>INDEX('[1]Funding Tables'!P:P,MATCH('Board Ventilation Strate-PY'!B103,'[1]Funding Tables'!B:B,0))</f>
        <v>Renfrew County District School Board</v>
      </c>
    </row>
    <row r="104" spans="1:4">
      <c r="A104">
        <f t="shared" si="1"/>
        <v>3</v>
      </c>
      <c r="B104" s="102">
        <v>28</v>
      </c>
      <c r="C104" s="103" t="s">
        <v>376</v>
      </c>
      <c r="D104" t="str">
        <f>INDEX('[1]Funding Tables'!P:P,MATCH('Board Ventilation Strate-PY'!B104,'[1]Funding Tables'!B:B,0))</f>
        <v>Renfrew County District School Board</v>
      </c>
    </row>
    <row r="105" spans="1:4">
      <c r="A105">
        <f t="shared" si="1"/>
        <v>4</v>
      </c>
      <c r="B105" s="102">
        <v>28</v>
      </c>
      <c r="C105" s="103" t="s">
        <v>377</v>
      </c>
      <c r="D105" t="str">
        <f>INDEX('[1]Funding Tables'!P:P,MATCH('Board Ventilation Strate-PY'!B105,'[1]Funding Tables'!B:B,0))</f>
        <v>Renfrew County District School Board</v>
      </c>
    </row>
    <row r="106" spans="1:4">
      <c r="A106">
        <f t="shared" si="1"/>
        <v>1</v>
      </c>
      <c r="B106" s="102">
        <v>23</v>
      </c>
      <c r="C106" s="103" t="s">
        <v>378</v>
      </c>
      <c r="D106" t="str">
        <f>INDEX('[1]Funding Tables'!P:P,MATCH('Board Ventilation Strate-PY'!B106,'[1]Funding Tables'!B:B,0))</f>
        <v>Grand Erie District School Board</v>
      </c>
    </row>
    <row r="107" spans="1:4">
      <c r="A107">
        <f t="shared" si="1"/>
        <v>2</v>
      </c>
      <c r="B107" s="102">
        <v>23</v>
      </c>
      <c r="C107" s="103" t="s">
        <v>379</v>
      </c>
      <c r="D107" t="str">
        <f>INDEX('[1]Funding Tables'!P:P,MATCH('Board Ventilation Strate-PY'!B107,'[1]Funding Tables'!B:B,0))</f>
        <v>Grand Erie District School Board</v>
      </c>
    </row>
    <row r="108" spans="1:4">
      <c r="A108">
        <f t="shared" si="1"/>
        <v>3</v>
      </c>
      <c r="B108" s="102">
        <v>23</v>
      </c>
      <c r="C108" s="103" t="s">
        <v>380</v>
      </c>
      <c r="D108" t="str">
        <f>INDEX('[1]Funding Tables'!P:P,MATCH('Board Ventilation Strate-PY'!B108,'[1]Funding Tables'!B:B,0))</f>
        <v>Grand Erie District School Board</v>
      </c>
    </row>
    <row r="109" spans="1:4">
      <c r="A109">
        <f t="shared" si="1"/>
        <v>4</v>
      </c>
      <c r="B109" s="102">
        <v>23</v>
      </c>
      <c r="C109" s="103" t="s">
        <v>381</v>
      </c>
      <c r="D109" t="str">
        <f>INDEX('[1]Funding Tables'!P:P,MATCH('Board Ventilation Strate-PY'!B109,'[1]Funding Tables'!B:B,0))</f>
        <v>Grand Erie District School Board</v>
      </c>
    </row>
    <row r="110" spans="1:4" ht="45.75">
      <c r="A110">
        <f t="shared" si="1"/>
        <v>1</v>
      </c>
      <c r="B110" s="102">
        <v>25</v>
      </c>
      <c r="C110" s="109" t="s">
        <v>382</v>
      </c>
      <c r="D110" t="str">
        <f>INDEX('[1]Funding Tables'!P:P,MATCH('Board Ventilation Strate-PY'!B110,'[1]Funding Tables'!B:B,0))</f>
        <v>Ottawa-Carleton District School Board</v>
      </c>
    </row>
    <row r="111" spans="1:4" ht="30">
      <c r="A111">
        <f t="shared" si="1"/>
        <v>2</v>
      </c>
      <c r="B111" s="102">
        <v>25</v>
      </c>
      <c r="C111" s="103" t="s">
        <v>383</v>
      </c>
      <c r="D111" t="str">
        <f>INDEX('[1]Funding Tables'!P:P,MATCH('Board Ventilation Strate-PY'!B111,'[1]Funding Tables'!B:B,0))</f>
        <v>Ottawa-Carleton District School Board</v>
      </c>
    </row>
    <row r="112" spans="1:4" ht="30">
      <c r="A112">
        <f t="shared" si="1"/>
        <v>3</v>
      </c>
      <c r="B112" s="102">
        <v>25</v>
      </c>
      <c r="C112" s="103" t="s">
        <v>384</v>
      </c>
      <c r="D112" t="str">
        <f>INDEX('[1]Funding Tables'!P:P,MATCH('Board Ventilation Strate-PY'!B112,'[1]Funding Tables'!B:B,0))</f>
        <v>Ottawa-Carleton District School Board</v>
      </c>
    </row>
    <row r="113" spans="1:4" ht="45">
      <c r="A113">
        <f t="shared" si="1"/>
        <v>4</v>
      </c>
      <c r="B113" s="102">
        <v>25</v>
      </c>
      <c r="C113" s="103" t="s">
        <v>385</v>
      </c>
      <c r="D113" t="str">
        <f>INDEX('[1]Funding Tables'!P:P,MATCH('Board Ventilation Strate-PY'!B113,'[1]Funding Tables'!B:B,0))</f>
        <v>Ottawa-Carleton District School Board</v>
      </c>
    </row>
    <row r="114" spans="1:4">
      <c r="A114">
        <f t="shared" si="1"/>
        <v>1</v>
      </c>
      <c r="B114" s="102">
        <v>39</v>
      </c>
      <c r="C114" s="103" t="s">
        <v>386</v>
      </c>
      <c r="D114" t="str">
        <f>INDEX('[1]Funding Tables'!P:P,MATCH('Board Ventilation Strate-PY'!B114,'[1]Funding Tables'!B:B,0))</f>
        <v>St. Clair Catholic District School Board</v>
      </c>
    </row>
    <row r="115" spans="1:4">
      <c r="A115">
        <f t="shared" si="1"/>
        <v>2</v>
      </c>
      <c r="B115" s="102">
        <v>39</v>
      </c>
      <c r="C115" s="103" t="s">
        <v>387</v>
      </c>
      <c r="D115" t="str">
        <f>INDEX('[1]Funding Tables'!P:P,MATCH('Board Ventilation Strate-PY'!B115,'[1]Funding Tables'!B:B,0))</f>
        <v>St. Clair Catholic District School Board</v>
      </c>
    </row>
    <row r="116" spans="1:4">
      <c r="A116">
        <f t="shared" si="1"/>
        <v>3</v>
      </c>
      <c r="B116" s="102">
        <v>39</v>
      </c>
      <c r="C116" s="103" t="s">
        <v>388</v>
      </c>
      <c r="D116" t="str">
        <f>INDEX('[1]Funding Tables'!P:P,MATCH('Board Ventilation Strate-PY'!B116,'[1]Funding Tables'!B:B,0))</f>
        <v>St. Clair Catholic District School Board</v>
      </c>
    </row>
    <row r="117" spans="1:4">
      <c r="A117">
        <f t="shared" si="1"/>
        <v>4</v>
      </c>
      <c r="B117" s="102">
        <v>39</v>
      </c>
      <c r="C117" s="103" t="s">
        <v>389</v>
      </c>
      <c r="D117" t="str">
        <f>INDEX('[1]Funding Tables'!P:P,MATCH('Board Ventilation Strate-PY'!B117,'[1]Funding Tables'!B:B,0))</f>
        <v>St. Clair Catholic District School Board</v>
      </c>
    </row>
    <row r="118" spans="1:4">
      <c r="A118">
        <f t="shared" si="1"/>
        <v>1</v>
      </c>
      <c r="B118" s="102">
        <v>27</v>
      </c>
      <c r="C118" s="103" t="s">
        <v>390</v>
      </c>
      <c r="D118" t="str">
        <f>INDEX('[1]Funding Tables'!P:P,MATCH('Board Ventilation Strate-PY'!B118,'[1]Funding Tables'!B:B,0))</f>
        <v>Limestone District School Board</v>
      </c>
    </row>
    <row r="119" spans="1:4" ht="30">
      <c r="A119">
        <f t="shared" si="1"/>
        <v>2</v>
      </c>
      <c r="B119" s="102">
        <v>27</v>
      </c>
      <c r="C119" s="103" t="s">
        <v>391</v>
      </c>
      <c r="D119" t="str">
        <f>INDEX('[1]Funding Tables'!P:P,MATCH('Board Ventilation Strate-PY'!B119,'[1]Funding Tables'!B:B,0))</f>
        <v>Limestone District School Board</v>
      </c>
    </row>
    <row r="120" spans="1:4">
      <c r="A120">
        <f t="shared" si="1"/>
        <v>3</v>
      </c>
      <c r="B120" s="102">
        <v>27</v>
      </c>
      <c r="C120" s="103" t="s">
        <v>392</v>
      </c>
      <c r="D120" t="str">
        <f>INDEX('[1]Funding Tables'!P:P,MATCH('Board Ventilation Strate-PY'!B120,'[1]Funding Tables'!B:B,0))</f>
        <v>Limestone District School Board</v>
      </c>
    </row>
    <row r="121" spans="1:4" ht="30">
      <c r="A121">
        <f t="shared" si="1"/>
        <v>4</v>
      </c>
      <c r="B121" s="102">
        <v>27</v>
      </c>
      <c r="C121" s="103" t="s">
        <v>393</v>
      </c>
      <c r="D121" t="str">
        <f>INDEX('[1]Funding Tables'!P:P,MATCH('Board Ventilation Strate-PY'!B121,'[1]Funding Tables'!B:B,0))</f>
        <v>Limestone District School Board</v>
      </c>
    </row>
    <row r="122" spans="1:4" ht="30">
      <c r="A122">
        <f t="shared" si="1"/>
        <v>1</v>
      </c>
      <c r="B122" s="102">
        <v>65</v>
      </c>
      <c r="C122" s="103" t="s">
        <v>394</v>
      </c>
      <c r="D122" t="str">
        <f>INDEX('[1]Funding Tables'!P:P,MATCH('Board Ventilation Strate-PY'!B122,'[1]Funding Tables'!B:B,0))</f>
        <v>Conseil scolaire de district catholique de l'Est ontarien</v>
      </c>
    </row>
    <row r="123" spans="1:4">
      <c r="A123">
        <f t="shared" si="1"/>
        <v>2</v>
      </c>
      <c r="B123" s="102">
        <v>65</v>
      </c>
      <c r="C123" s="103" t="s">
        <v>395</v>
      </c>
      <c r="D123" t="str">
        <f>INDEX('[1]Funding Tables'!P:P,MATCH('Board Ventilation Strate-PY'!B123,'[1]Funding Tables'!B:B,0))</f>
        <v>Conseil scolaire de district catholique de l'Est ontarien</v>
      </c>
    </row>
    <row r="124" spans="1:4" ht="30">
      <c r="A124">
        <f t="shared" si="1"/>
        <v>3</v>
      </c>
      <c r="B124" s="102">
        <v>65</v>
      </c>
      <c r="C124" s="103" t="s">
        <v>396</v>
      </c>
      <c r="D124" t="str">
        <f>INDEX('[1]Funding Tables'!P:P,MATCH('Board Ventilation Strate-PY'!B124,'[1]Funding Tables'!B:B,0))</f>
        <v>Conseil scolaire de district catholique de l'Est ontarien</v>
      </c>
    </row>
    <row r="125" spans="1:4">
      <c r="A125">
        <f t="shared" si="1"/>
        <v>4</v>
      </c>
      <c r="B125" s="102">
        <v>65</v>
      </c>
      <c r="C125" s="103" t="s">
        <v>397</v>
      </c>
      <c r="D125" t="str">
        <f>INDEX('[1]Funding Tables'!P:P,MATCH('Board Ventilation Strate-PY'!B125,'[1]Funding Tables'!B:B,0))</f>
        <v>Conseil scolaire de district catholique de l'Est ontarien</v>
      </c>
    </row>
    <row r="126" spans="1:4" ht="30">
      <c r="A126">
        <f t="shared" si="1"/>
        <v>1</v>
      </c>
      <c r="B126" s="102">
        <v>49</v>
      </c>
      <c r="C126" s="103" t="s">
        <v>398</v>
      </c>
      <c r="D126" t="str">
        <f>INDEX('[1]Funding Tables'!P:P,MATCH('Board Ventilation Strate-PY'!B126,'[1]Funding Tables'!B:B,0))</f>
        <v>Waterloo Catholic District School Board</v>
      </c>
    </row>
    <row r="127" spans="1:4" ht="30">
      <c r="A127">
        <f t="shared" si="1"/>
        <v>2</v>
      </c>
      <c r="B127" s="102">
        <v>49</v>
      </c>
      <c r="C127" s="103" t="s">
        <v>399</v>
      </c>
      <c r="D127" t="str">
        <f>INDEX('[1]Funding Tables'!P:P,MATCH('Board Ventilation Strate-PY'!B127,'[1]Funding Tables'!B:B,0))</f>
        <v>Waterloo Catholic District School Board</v>
      </c>
    </row>
    <row r="128" spans="1:4" ht="30">
      <c r="A128">
        <f t="shared" si="1"/>
        <v>3</v>
      </c>
      <c r="B128" s="102">
        <v>49</v>
      </c>
      <c r="C128" s="103" t="s">
        <v>400</v>
      </c>
      <c r="D128" t="str">
        <f>INDEX('[1]Funding Tables'!P:P,MATCH('Board Ventilation Strate-PY'!B128,'[1]Funding Tables'!B:B,0))</f>
        <v>Waterloo Catholic District School Board</v>
      </c>
    </row>
    <row r="129" spans="1:4" ht="30">
      <c r="A129">
        <f t="shared" si="1"/>
        <v>4</v>
      </c>
      <c r="B129" s="102">
        <v>49</v>
      </c>
      <c r="C129" s="103" t="s">
        <v>401</v>
      </c>
      <c r="D129" t="str">
        <f>INDEX('[1]Funding Tables'!P:P,MATCH('Board Ventilation Strate-PY'!B129,'[1]Funding Tables'!B:B,0))</f>
        <v>Waterloo Catholic District School Board</v>
      </c>
    </row>
    <row r="130" spans="1:4" ht="30">
      <c r="A130">
        <f t="shared" si="1"/>
        <v>1</v>
      </c>
      <c r="B130" s="102">
        <v>1</v>
      </c>
      <c r="C130" s="103" t="s">
        <v>402</v>
      </c>
      <c r="D130" t="str">
        <f>INDEX('[1]Funding Tables'!P:P,MATCH('Board Ventilation Strate-PY'!B130,'[1]Funding Tables'!B:B,0))</f>
        <v>District School Board Ontario North East</v>
      </c>
    </row>
    <row r="131" spans="1:4">
      <c r="A131">
        <f t="shared" si="1"/>
        <v>2</v>
      </c>
      <c r="B131" s="102">
        <v>1</v>
      </c>
      <c r="C131" s="103" t="s">
        <v>403</v>
      </c>
      <c r="D131" t="str">
        <f>INDEX('[1]Funding Tables'!P:P,MATCH('Board Ventilation Strate-PY'!B131,'[1]Funding Tables'!B:B,0))</f>
        <v>District School Board Ontario North East</v>
      </c>
    </row>
    <row r="132" spans="1:4">
      <c r="A132">
        <f t="shared" ref="A132:A195" si="2">IF(B132=B131,A131+1,1)</f>
        <v>3</v>
      </c>
      <c r="B132" s="102">
        <v>1</v>
      </c>
      <c r="C132" s="103" t="s">
        <v>404</v>
      </c>
      <c r="D132" t="str">
        <f>INDEX('[1]Funding Tables'!P:P,MATCH('Board Ventilation Strate-PY'!B132,'[1]Funding Tables'!B:B,0))</f>
        <v>District School Board Ontario North East</v>
      </c>
    </row>
    <row r="133" spans="1:4">
      <c r="A133">
        <f t="shared" si="2"/>
        <v>4</v>
      </c>
      <c r="B133" s="102">
        <v>1</v>
      </c>
      <c r="C133" s="103" t="s">
        <v>405</v>
      </c>
      <c r="D133" t="str">
        <f>INDEX('[1]Funding Tables'!P:P,MATCH('Board Ventilation Strate-PY'!B133,'[1]Funding Tables'!B:B,0))</f>
        <v>District School Board Ontario North East</v>
      </c>
    </row>
    <row r="134" spans="1:4" ht="30">
      <c r="A134">
        <f t="shared" si="2"/>
        <v>1</v>
      </c>
      <c r="B134" s="102">
        <v>3</v>
      </c>
      <c r="C134" s="103" t="s">
        <v>406</v>
      </c>
      <c r="D134" t="str">
        <f>INDEX('[1]Funding Tables'!P:P,MATCH('Board Ventilation Strate-PY'!B134,'[1]Funding Tables'!B:B,0))</f>
        <v>Rainbow District School Board</v>
      </c>
    </row>
    <row r="135" spans="1:4" ht="30">
      <c r="A135">
        <f t="shared" si="2"/>
        <v>2</v>
      </c>
      <c r="B135" s="102">
        <v>3</v>
      </c>
      <c r="C135" s="103" t="s">
        <v>407</v>
      </c>
      <c r="D135" t="str">
        <f>INDEX('[1]Funding Tables'!P:P,MATCH('Board Ventilation Strate-PY'!B135,'[1]Funding Tables'!B:B,0))</f>
        <v>Rainbow District School Board</v>
      </c>
    </row>
    <row r="136" spans="1:4" ht="30">
      <c r="A136">
        <f t="shared" si="2"/>
        <v>3</v>
      </c>
      <c r="B136" s="102">
        <v>3</v>
      </c>
      <c r="C136" s="103" t="s">
        <v>408</v>
      </c>
      <c r="D136" t="str">
        <f>INDEX('[1]Funding Tables'!P:P,MATCH('Board Ventilation Strate-PY'!B136,'[1]Funding Tables'!B:B,0))</f>
        <v>Rainbow District School Board</v>
      </c>
    </row>
    <row r="137" spans="1:4">
      <c r="A137">
        <f t="shared" si="2"/>
        <v>4</v>
      </c>
      <c r="B137" s="102">
        <v>3</v>
      </c>
      <c r="C137" s="103" t="s">
        <v>409</v>
      </c>
      <c r="D137" t="str">
        <f>INDEX('[1]Funding Tables'!P:P,MATCH('Board Ventilation Strate-PY'!B137,'[1]Funding Tables'!B:B,0))</f>
        <v>Rainbow District School Board</v>
      </c>
    </row>
    <row r="138" spans="1:4" ht="30">
      <c r="A138">
        <f t="shared" si="2"/>
        <v>1</v>
      </c>
      <c r="B138" s="102">
        <v>17</v>
      </c>
      <c r="C138" s="103" t="s">
        <v>410</v>
      </c>
      <c r="D138" t="str">
        <f>INDEX('[1]Funding Tables'!P:P,MATCH('Board Ventilation Strate-PY'!B138,'[1]Funding Tables'!B:B,0))</f>
        <v>Simcoe County District School Board</v>
      </c>
    </row>
    <row r="139" spans="1:4" ht="33">
      <c r="A139">
        <f t="shared" si="2"/>
        <v>2</v>
      </c>
      <c r="B139" s="102">
        <v>17</v>
      </c>
      <c r="C139" s="103" t="s">
        <v>411</v>
      </c>
      <c r="D139" t="str">
        <f>INDEX('[1]Funding Tables'!P:P,MATCH('Board Ventilation Strate-PY'!B139,'[1]Funding Tables'!B:B,0))</f>
        <v>Simcoe County District School Board</v>
      </c>
    </row>
    <row r="140" spans="1:4" ht="30">
      <c r="A140">
        <f t="shared" si="2"/>
        <v>3</v>
      </c>
      <c r="B140" s="102">
        <v>17</v>
      </c>
      <c r="C140" s="103" t="s">
        <v>412</v>
      </c>
      <c r="D140" t="str">
        <f>INDEX('[1]Funding Tables'!P:P,MATCH('Board Ventilation Strate-PY'!B140,'[1]Funding Tables'!B:B,0))</f>
        <v>Simcoe County District School Board</v>
      </c>
    </row>
    <row r="141" spans="1:4" ht="30">
      <c r="A141">
        <f t="shared" si="2"/>
        <v>4</v>
      </c>
      <c r="B141" s="102">
        <v>17</v>
      </c>
      <c r="C141" s="103" t="s">
        <v>413</v>
      </c>
      <c r="D141" t="str">
        <f>INDEX('[1]Funding Tables'!P:P,MATCH('Board Ventilation Strate-PY'!B141,'[1]Funding Tables'!B:B,0))</f>
        <v>Simcoe County District School Board</v>
      </c>
    </row>
    <row r="142" spans="1:4">
      <c r="A142">
        <f t="shared" si="2"/>
        <v>1</v>
      </c>
      <c r="B142" s="102">
        <v>50</v>
      </c>
      <c r="C142" s="103" t="s">
        <v>414</v>
      </c>
      <c r="D142" t="str">
        <f>INDEX('[1]Funding Tables'!P:P,MATCH('Board Ventilation Strate-PY'!B142,'[1]Funding Tables'!B:B,0))</f>
        <v>Niagara Catholic District School Board</v>
      </c>
    </row>
    <row r="143" spans="1:4">
      <c r="A143">
        <f t="shared" si="2"/>
        <v>2</v>
      </c>
      <c r="B143" s="102">
        <v>50</v>
      </c>
      <c r="C143" s="103" t="s">
        <v>415</v>
      </c>
      <c r="D143" t="str">
        <f>INDEX('[1]Funding Tables'!P:P,MATCH('Board Ventilation Strate-PY'!B143,'[1]Funding Tables'!B:B,0))</f>
        <v>Niagara Catholic District School Board</v>
      </c>
    </row>
    <row r="144" spans="1:4">
      <c r="A144">
        <f t="shared" si="2"/>
        <v>3</v>
      </c>
      <c r="B144" s="102">
        <v>50</v>
      </c>
      <c r="C144" s="103" t="s">
        <v>416</v>
      </c>
      <c r="D144" t="str">
        <f>INDEX('[1]Funding Tables'!P:P,MATCH('Board Ventilation Strate-PY'!B144,'[1]Funding Tables'!B:B,0))</f>
        <v>Niagara Catholic District School Board</v>
      </c>
    </row>
    <row r="145" spans="1:4">
      <c r="A145">
        <f t="shared" si="2"/>
        <v>4</v>
      </c>
      <c r="B145" s="102">
        <v>50</v>
      </c>
      <c r="C145" s="103" t="s">
        <v>417</v>
      </c>
      <c r="D145" t="str">
        <f>INDEX('[1]Funding Tables'!P:P,MATCH('Board Ventilation Strate-PY'!B145,'[1]Funding Tables'!B:B,0))</f>
        <v>Niagara Catholic District School Board</v>
      </c>
    </row>
    <row r="146" spans="1:4" ht="75">
      <c r="A146">
        <f t="shared" si="2"/>
        <v>1</v>
      </c>
      <c r="B146" s="102">
        <v>44</v>
      </c>
      <c r="C146" s="106" t="s">
        <v>418</v>
      </c>
      <c r="D146" t="str">
        <f>INDEX('[1]Funding Tables'!P:P,MATCH('Board Ventilation Strate-PY'!B146,'[1]Funding Tables'!B:B,0))</f>
        <v>Simcoe Muskoka Catholic District School Board</v>
      </c>
    </row>
    <row r="147" spans="1:4" ht="90">
      <c r="A147">
        <f t="shared" si="2"/>
        <v>2</v>
      </c>
      <c r="B147" s="102">
        <v>44</v>
      </c>
      <c r="C147" s="106" t="s">
        <v>419</v>
      </c>
      <c r="D147" t="str">
        <f>INDEX('[1]Funding Tables'!P:P,MATCH('Board Ventilation Strate-PY'!B147,'[1]Funding Tables'!B:B,0))</f>
        <v>Simcoe Muskoka Catholic District School Board</v>
      </c>
    </row>
    <row r="148" spans="1:4" ht="45">
      <c r="A148">
        <f t="shared" si="2"/>
        <v>3</v>
      </c>
      <c r="B148" s="102">
        <v>44</v>
      </c>
      <c r="C148" s="106" t="s">
        <v>420</v>
      </c>
      <c r="D148" t="str">
        <f>INDEX('[1]Funding Tables'!P:P,MATCH('Board Ventilation Strate-PY'!B148,'[1]Funding Tables'!B:B,0))</f>
        <v>Simcoe Muskoka Catholic District School Board</v>
      </c>
    </row>
    <row r="149" spans="1:4" ht="60">
      <c r="A149">
        <f t="shared" si="2"/>
        <v>4</v>
      </c>
      <c r="B149" s="102">
        <v>44</v>
      </c>
      <c r="C149" s="103" t="s">
        <v>421</v>
      </c>
      <c r="D149" t="str">
        <f>INDEX('[1]Funding Tables'!P:P,MATCH('Board Ventilation Strate-PY'!B149,'[1]Funding Tables'!B:B,0))</f>
        <v>Simcoe Muskoka Catholic District School Board</v>
      </c>
    </row>
    <row r="150" spans="1:4" ht="30">
      <c r="A150">
        <f t="shared" si="2"/>
        <v>1</v>
      </c>
      <c r="B150" s="102">
        <v>13</v>
      </c>
      <c r="C150" s="103" t="s">
        <v>422</v>
      </c>
      <c r="D150" t="str">
        <f>INDEX('[1]Funding Tables'!P:P,MATCH('Board Ventilation Strate-PY'!B150,'[1]Funding Tables'!B:B,0))</f>
        <v>Durham District School Board</v>
      </c>
    </row>
    <row r="151" spans="1:4" ht="30">
      <c r="A151">
        <f t="shared" si="2"/>
        <v>2</v>
      </c>
      <c r="B151" s="102">
        <v>13</v>
      </c>
      <c r="C151" s="103" t="s">
        <v>423</v>
      </c>
      <c r="D151" t="str">
        <f>INDEX('[1]Funding Tables'!P:P,MATCH('Board Ventilation Strate-PY'!B151,'[1]Funding Tables'!B:B,0))</f>
        <v>Durham District School Board</v>
      </c>
    </row>
    <row r="152" spans="1:4" ht="30">
      <c r="A152">
        <f t="shared" si="2"/>
        <v>3</v>
      </c>
      <c r="B152" s="102">
        <v>13</v>
      </c>
      <c r="C152" s="103" t="s">
        <v>424</v>
      </c>
      <c r="D152" t="str">
        <f>INDEX('[1]Funding Tables'!P:P,MATCH('Board Ventilation Strate-PY'!B152,'[1]Funding Tables'!B:B,0))</f>
        <v>Durham District School Board</v>
      </c>
    </row>
    <row r="153" spans="1:4" ht="30">
      <c r="A153">
        <f t="shared" si="2"/>
        <v>4</v>
      </c>
      <c r="B153" s="102">
        <v>13</v>
      </c>
      <c r="C153" s="103" t="s">
        <v>425</v>
      </c>
      <c r="D153" t="str">
        <f>INDEX('[1]Funding Tables'!P:P,MATCH('Board Ventilation Strate-PY'!B153,'[1]Funding Tables'!B:B,0))</f>
        <v>Durham District School Board</v>
      </c>
    </row>
    <row r="154" spans="1:4">
      <c r="A154">
        <f t="shared" si="2"/>
        <v>1</v>
      </c>
      <c r="B154" s="102" t="s">
        <v>12</v>
      </c>
      <c r="C154" s="103" t="s">
        <v>426</v>
      </c>
      <c r="D154" t="str">
        <f>INDEX('[1]Funding Tables'!P:P,MATCH('Board Ventilation Strate-PY'!B154,'[1]Funding Tables'!B:B,0))</f>
        <v>Lakehead District School Board</v>
      </c>
    </row>
    <row r="155" spans="1:4">
      <c r="A155">
        <f t="shared" si="2"/>
        <v>2</v>
      </c>
      <c r="B155" s="102" t="s">
        <v>12</v>
      </c>
      <c r="C155" s="103" t="s">
        <v>427</v>
      </c>
      <c r="D155" t="str">
        <f>INDEX('[1]Funding Tables'!P:P,MATCH('Board Ventilation Strate-PY'!B155,'[1]Funding Tables'!B:B,0))</f>
        <v>Lakehead District School Board</v>
      </c>
    </row>
    <row r="156" spans="1:4">
      <c r="A156">
        <f t="shared" si="2"/>
        <v>3</v>
      </c>
      <c r="B156" s="102" t="s">
        <v>12</v>
      </c>
      <c r="C156" s="103" t="s">
        <v>428</v>
      </c>
      <c r="D156" t="str">
        <f>INDEX('[1]Funding Tables'!P:P,MATCH('Board Ventilation Strate-PY'!B156,'[1]Funding Tables'!B:B,0))</f>
        <v>Lakehead District School Board</v>
      </c>
    </row>
    <row r="157" spans="1:4">
      <c r="A157">
        <f t="shared" si="2"/>
        <v>4</v>
      </c>
      <c r="B157" s="102" t="s">
        <v>12</v>
      </c>
      <c r="C157" s="103" t="s">
        <v>429</v>
      </c>
      <c r="D157" t="str">
        <f>INDEX('[1]Funding Tables'!P:P,MATCH('Board Ventilation Strate-PY'!B157,'[1]Funding Tables'!B:B,0))</f>
        <v>Lakehead District School Board</v>
      </c>
    </row>
    <row r="158" spans="1:4">
      <c r="A158">
        <f t="shared" si="2"/>
        <v>1</v>
      </c>
      <c r="B158" s="102">
        <v>100</v>
      </c>
      <c r="C158" s="103" t="s">
        <v>430</v>
      </c>
      <c r="D158" t="str">
        <f>INDEX('[1]Funding Tables'!P:P,MATCH('Board Ventilation Strate-PY'!B158,'[1]Funding Tables'!B:B,0))</f>
        <v>James Bay Lowlands Secondary School Board</v>
      </c>
    </row>
    <row r="159" spans="1:4">
      <c r="A159">
        <f t="shared" si="2"/>
        <v>2</v>
      </c>
      <c r="B159" s="102">
        <v>100</v>
      </c>
      <c r="C159" s="103" t="s">
        <v>431</v>
      </c>
      <c r="D159" t="str">
        <f>INDEX('[1]Funding Tables'!P:P,MATCH('Board Ventilation Strate-PY'!B159,'[1]Funding Tables'!B:B,0))</f>
        <v>James Bay Lowlands Secondary School Board</v>
      </c>
    </row>
    <row r="160" spans="1:4">
      <c r="A160">
        <f t="shared" si="2"/>
        <v>3</v>
      </c>
      <c r="B160" s="102">
        <v>100</v>
      </c>
      <c r="C160" s="103" t="s">
        <v>432</v>
      </c>
      <c r="D160" t="str">
        <f>INDEX('[1]Funding Tables'!P:P,MATCH('Board Ventilation Strate-PY'!B160,'[1]Funding Tables'!B:B,0))</f>
        <v>James Bay Lowlands Secondary School Board</v>
      </c>
    </row>
    <row r="161" spans="1:4">
      <c r="A161">
        <f t="shared" si="2"/>
        <v>4</v>
      </c>
      <c r="B161" s="102">
        <v>100</v>
      </c>
      <c r="C161" s="103" t="s">
        <v>433</v>
      </c>
      <c r="D161" t="str">
        <f>INDEX('[1]Funding Tables'!P:P,MATCH('Board Ventilation Strate-PY'!B161,'[1]Funding Tables'!B:B,0))</f>
        <v>James Bay Lowlands Secondary School Board</v>
      </c>
    </row>
    <row r="162" spans="1:4" ht="30">
      <c r="A162">
        <f t="shared" si="2"/>
        <v>1</v>
      </c>
      <c r="B162" s="102">
        <v>18</v>
      </c>
      <c r="C162" s="110" t="s">
        <v>434</v>
      </c>
      <c r="D162" t="str">
        <f>INDEX('[1]Funding Tables'!P:P,MATCH('Board Ventilation Strate-PY'!B162,'[1]Funding Tables'!B:B,0))</f>
        <v>Upper Grand District School Board</v>
      </c>
    </row>
    <row r="163" spans="1:4" ht="30">
      <c r="A163">
        <f t="shared" si="2"/>
        <v>2</v>
      </c>
      <c r="B163" s="102">
        <v>18</v>
      </c>
      <c r="C163" s="110" t="s">
        <v>435</v>
      </c>
      <c r="D163" t="str">
        <f>INDEX('[1]Funding Tables'!P:P,MATCH('Board Ventilation Strate-PY'!B163,'[1]Funding Tables'!B:B,0))</f>
        <v>Upper Grand District School Board</v>
      </c>
    </row>
    <row r="164" spans="1:4" ht="30">
      <c r="A164">
        <f t="shared" si="2"/>
        <v>3</v>
      </c>
      <c r="B164" s="102">
        <v>18</v>
      </c>
      <c r="C164" s="110" t="s">
        <v>436</v>
      </c>
      <c r="D164" t="str">
        <f>INDEX('[1]Funding Tables'!P:P,MATCH('Board Ventilation Strate-PY'!B164,'[1]Funding Tables'!B:B,0))</f>
        <v>Upper Grand District School Board</v>
      </c>
    </row>
    <row r="165" spans="1:4" ht="30">
      <c r="A165">
        <f t="shared" si="2"/>
        <v>4</v>
      </c>
      <c r="B165" s="102">
        <v>18</v>
      </c>
      <c r="C165" s="110" t="s">
        <v>437</v>
      </c>
      <c r="D165" t="str">
        <f>INDEX('[1]Funding Tables'!P:P,MATCH('Board Ventilation Strate-PY'!B165,'[1]Funding Tables'!B:B,0))</f>
        <v>Upper Grand District School Board</v>
      </c>
    </row>
    <row r="166" spans="1:4">
      <c r="A166">
        <f t="shared" si="2"/>
        <v>1</v>
      </c>
      <c r="B166" s="102">
        <v>22</v>
      </c>
      <c r="C166" s="103" t="s">
        <v>438</v>
      </c>
      <c r="D166" t="str">
        <f>INDEX('[1]Funding Tables'!P:P,MATCH('Board Ventilation Strate-PY'!B166,'[1]Funding Tables'!B:B,0))</f>
        <v>District School Board of Niagara</v>
      </c>
    </row>
    <row r="167" spans="1:4">
      <c r="A167">
        <f t="shared" si="2"/>
        <v>2</v>
      </c>
      <c r="B167" s="102">
        <v>22</v>
      </c>
      <c r="C167" s="103" t="s">
        <v>439</v>
      </c>
      <c r="D167" t="str">
        <f>INDEX('[1]Funding Tables'!P:P,MATCH('Board Ventilation Strate-PY'!B167,'[1]Funding Tables'!B:B,0))</f>
        <v>District School Board of Niagara</v>
      </c>
    </row>
    <row r="168" spans="1:4">
      <c r="A168">
        <f t="shared" si="2"/>
        <v>3</v>
      </c>
      <c r="B168" s="102">
        <v>22</v>
      </c>
      <c r="C168" s="103" t="s">
        <v>440</v>
      </c>
      <c r="D168" t="str">
        <f>INDEX('[1]Funding Tables'!P:P,MATCH('Board Ventilation Strate-PY'!B168,'[1]Funding Tables'!B:B,0))</f>
        <v>District School Board of Niagara</v>
      </c>
    </row>
    <row r="169" spans="1:4">
      <c r="A169">
        <f t="shared" si="2"/>
        <v>4</v>
      </c>
      <c r="B169" s="102">
        <v>22</v>
      </c>
      <c r="C169" s="103" t="s">
        <v>441</v>
      </c>
      <c r="D169" t="str">
        <f>INDEX('[1]Funding Tables'!P:P,MATCH('Board Ventilation Strate-PY'!B169,'[1]Funding Tables'!B:B,0))</f>
        <v>District School Board of Niagara</v>
      </c>
    </row>
    <row r="170" spans="1:4" ht="30">
      <c r="A170">
        <f t="shared" si="2"/>
        <v>1</v>
      </c>
      <c r="B170" s="102">
        <v>46</v>
      </c>
      <c r="C170" s="111" t="s">
        <v>442</v>
      </c>
      <c r="D170" t="str">
        <f>INDEX('[1]Funding Tables'!P:P,MATCH('Board Ventilation Strate-PY'!B170,'[1]Funding Tables'!B:B,0))</f>
        <v>Halton Catholic District School Board</v>
      </c>
    </row>
    <row r="171" spans="1:4" ht="30">
      <c r="A171">
        <f t="shared" si="2"/>
        <v>2</v>
      </c>
      <c r="B171" s="102">
        <v>46</v>
      </c>
      <c r="C171" s="111" t="s">
        <v>443</v>
      </c>
      <c r="D171" t="str">
        <f>INDEX('[1]Funding Tables'!P:P,MATCH('Board Ventilation Strate-PY'!B171,'[1]Funding Tables'!B:B,0))</f>
        <v>Halton Catholic District School Board</v>
      </c>
    </row>
    <row r="172" spans="1:4">
      <c r="A172">
        <f t="shared" si="2"/>
        <v>3</v>
      </c>
      <c r="B172" s="102">
        <v>46</v>
      </c>
      <c r="C172" s="111" t="s">
        <v>444</v>
      </c>
      <c r="D172" t="str">
        <f>INDEX('[1]Funding Tables'!P:P,MATCH('Board Ventilation Strate-PY'!B172,'[1]Funding Tables'!B:B,0))</f>
        <v>Halton Catholic District School Board</v>
      </c>
    </row>
    <row r="173" spans="1:4">
      <c r="A173">
        <f t="shared" si="2"/>
        <v>4</v>
      </c>
      <c r="B173" s="102">
        <v>46</v>
      </c>
      <c r="C173" s="111" t="s">
        <v>445</v>
      </c>
      <c r="D173" t="str">
        <f>INDEX('[1]Funding Tables'!P:P,MATCH('Board Ventilation Strate-PY'!B173,'[1]Funding Tables'!B:B,0))</f>
        <v>Halton Catholic District School Board</v>
      </c>
    </row>
    <row r="174" spans="1:4">
      <c r="A174">
        <f t="shared" si="2"/>
        <v>1</v>
      </c>
      <c r="B174" s="102">
        <v>32</v>
      </c>
      <c r="C174" s="103" t="s">
        <v>446</v>
      </c>
      <c r="D174" t="str">
        <f>INDEX('[1]Funding Tables'!P:P,MATCH('Board Ventilation Strate-PY'!B174,'[1]Funding Tables'!B:B,0))</f>
        <v>Sudbury Catholic District School Board</v>
      </c>
    </row>
    <row r="175" spans="1:4" ht="30">
      <c r="A175">
        <f t="shared" si="2"/>
        <v>2</v>
      </c>
      <c r="B175" s="102">
        <v>32</v>
      </c>
      <c r="C175" s="103" t="s">
        <v>447</v>
      </c>
      <c r="D175" t="str">
        <f>INDEX('[1]Funding Tables'!P:P,MATCH('Board Ventilation Strate-PY'!B175,'[1]Funding Tables'!B:B,0))</f>
        <v>Sudbury Catholic District School Board</v>
      </c>
    </row>
    <row r="176" spans="1:4">
      <c r="A176">
        <f t="shared" si="2"/>
        <v>3</v>
      </c>
      <c r="B176" s="102">
        <v>32</v>
      </c>
      <c r="C176" s="103" t="s">
        <v>448</v>
      </c>
      <c r="D176" t="str">
        <f>INDEX('[1]Funding Tables'!P:P,MATCH('Board Ventilation Strate-PY'!B176,'[1]Funding Tables'!B:B,0))</f>
        <v>Sudbury Catholic District School Board</v>
      </c>
    </row>
    <row r="177" spans="1:4">
      <c r="A177">
        <f t="shared" si="2"/>
        <v>4</v>
      </c>
      <c r="B177" s="102">
        <v>32</v>
      </c>
      <c r="C177" s="103" t="s">
        <v>449</v>
      </c>
      <c r="D177" t="str">
        <f>INDEX('[1]Funding Tables'!P:P,MATCH('Board Ventilation Strate-PY'!B177,'[1]Funding Tables'!B:B,0))</f>
        <v>Sudbury Catholic District School Board</v>
      </c>
    </row>
    <row r="178" spans="1:4">
      <c r="A178">
        <f t="shared" si="2"/>
        <v>1</v>
      </c>
      <c r="B178" s="102">
        <v>35</v>
      </c>
      <c r="C178" s="103" t="s">
        <v>450</v>
      </c>
      <c r="D178" t="str">
        <f>INDEX('[1]Funding Tables'!P:P,MATCH('Board Ventilation Strate-PY'!B178,'[1]Funding Tables'!B:B,0))</f>
        <v>Bruce-Grey Catholic District School Board</v>
      </c>
    </row>
    <row r="179" spans="1:4">
      <c r="A179">
        <f t="shared" si="2"/>
        <v>2</v>
      </c>
      <c r="B179" s="102">
        <v>35</v>
      </c>
      <c r="C179" s="103" t="s">
        <v>451</v>
      </c>
      <c r="D179" t="str">
        <f>INDEX('[1]Funding Tables'!P:P,MATCH('Board Ventilation Strate-PY'!B179,'[1]Funding Tables'!B:B,0))</f>
        <v>Bruce-Grey Catholic District School Board</v>
      </c>
    </row>
    <row r="180" spans="1:4">
      <c r="A180">
        <f t="shared" si="2"/>
        <v>3</v>
      </c>
      <c r="B180" s="102">
        <v>35</v>
      </c>
      <c r="C180" s="103" t="s">
        <v>452</v>
      </c>
      <c r="D180" t="str">
        <f>INDEX('[1]Funding Tables'!P:P,MATCH('Board Ventilation Strate-PY'!B180,'[1]Funding Tables'!B:B,0))</f>
        <v>Bruce-Grey Catholic District School Board</v>
      </c>
    </row>
    <row r="181" spans="1:4">
      <c r="A181">
        <f t="shared" si="2"/>
        <v>4</v>
      </c>
      <c r="B181" s="102">
        <v>35</v>
      </c>
      <c r="C181" s="103" t="s">
        <v>453</v>
      </c>
      <c r="D181" t="str">
        <f>INDEX('[1]Funding Tables'!P:P,MATCH('Board Ventilation Strate-PY'!B181,'[1]Funding Tables'!B:B,0))</f>
        <v>Bruce-Grey Catholic District School Board</v>
      </c>
    </row>
    <row r="182" spans="1:4">
      <c r="A182">
        <f t="shared" si="2"/>
        <v>1</v>
      </c>
      <c r="B182" s="102">
        <v>57</v>
      </c>
      <c r="C182" s="103" t="s">
        <v>454</v>
      </c>
      <c r="D182" t="str">
        <f>INDEX('[1]Funding Tables'!P:P,MATCH('Board Ventilation Strate-PY'!B182,'[1]Funding Tables'!B:B,0))</f>
        <v>Conseil scolaire public du Grand Nord de l’Ontario</v>
      </c>
    </row>
    <row r="183" spans="1:4" ht="30">
      <c r="A183">
        <f t="shared" si="2"/>
        <v>2</v>
      </c>
      <c r="B183" s="102">
        <v>57</v>
      </c>
      <c r="C183" s="103" t="s">
        <v>455</v>
      </c>
      <c r="D183" t="str">
        <f>INDEX('[1]Funding Tables'!P:P,MATCH('Board Ventilation Strate-PY'!B183,'[1]Funding Tables'!B:B,0))</f>
        <v>Conseil scolaire public du Grand Nord de l’Ontario</v>
      </c>
    </row>
    <row r="184" spans="1:4">
      <c r="A184">
        <f t="shared" si="2"/>
        <v>3</v>
      </c>
      <c r="B184" s="102">
        <v>57</v>
      </c>
      <c r="C184" s="103" t="s">
        <v>456</v>
      </c>
      <c r="D184" t="str">
        <f>INDEX('[1]Funding Tables'!P:P,MATCH('Board Ventilation Strate-PY'!B184,'[1]Funding Tables'!B:B,0))</f>
        <v>Conseil scolaire public du Grand Nord de l’Ontario</v>
      </c>
    </row>
    <row r="185" spans="1:4">
      <c r="A185">
        <f t="shared" si="2"/>
        <v>4</v>
      </c>
      <c r="B185" s="102">
        <v>57</v>
      </c>
      <c r="C185" s="103" t="s">
        <v>457</v>
      </c>
      <c r="D185" t="str">
        <f>INDEX('[1]Funding Tables'!P:P,MATCH('Board Ventilation Strate-PY'!B185,'[1]Funding Tables'!B:B,0))</f>
        <v>Conseil scolaire public du Grand Nord de l’Ontario</v>
      </c>
    </row>
    <row r="186" spans="1:4" ht="15.75">
      <c r="A186">
        <f t="shared" si="2"/>
        <v>1</v>
      </c>
      <c r="B186" s="102">
        <v>37</v>
      </c>
      <c r="C186" s="107" t="s">
        <v>458</v>
      </c>
      <c r="D186" t="str">
        <f>INDEX('[1]Funding Tables'!P:P,MATCH('Board Ventilation Strate-PY'!B186,'[1]Funding Tables'!B:B,0))</f>
        <v>Windsor-Essex Catholic District School Board</v>
      </c>
    </row>
    <row r="187" spans="1:4" ht="15.75">
      <c r="A187">
        <f t="shared" si="2"/>
        <v>2</v>
      </c>
      <c r="B187" s="102">
        <v>37</v>
      </c>
      <c r="C187" s="107" t="s">
        <v>459</v>
      </c>
      <c r="D187" t="str">
        <f>INDEX('[1]Funding Tables'!P:P,MATCH('Board Ventilation Strate-PY'!B187,'[1]Funding Tables'!B:B,0))</f>
        <v>Windsor-Essex Catholic District School Board</v>
      </c>
    </row>
    <row r="188" spans="1:4" ht="31.5">
      <c r="A188">
        <f t="shared" si="2"/>
        <v>3</v>
      </c>
      <c r="B188" s="102">
        <v>37</v>
      </c>
      <c r="C188" s="107" t="s">
        <v>460</v>
      </c>
      <c r="D188" t="str">
        <f>INDEX('[1]Funding Tables'!P:P,MATCH('Board Ventilation Strate-PY'!B188,'[1]Funding Tables'!B:B,0))</f>
        <v>Windsor-Essex Catholic District School Board</v>
      </c>
    </row>
    <row r="189" spans="1:4" ht="31.5">
      <c r="A189">
        <f t="shared" si="2"/>
        <v>4</v>
      </c>
      <c r="B189" s="102">
        <v>37</v>
      </c>
      <c r="C189" s="107" t="s">
        <v>461</v>
      </c>
      <c r="D189" t="str">
        <f>INDEX('[1]Funding Tables'!P:P,MATCH('Board Ventilation Strate-PY'!B189,'[1]Funding Tables'!B:B,0))</f>
        <v>Windsor-Essex Catholic District School Board</v>
      </c>
    </row>
    <row r="190" spans="1:4" ht="47.25">
      <c r="A190">
        <f t="shared" si="2"/>
        <v>5</v>
      </c>
      <c r="B190" s="102">
        <v>37</v>
      </c>
      <c r="C190" s="107" t="s">
        <v>462</v>
      </c>
      <c r="D190" t="str">
        <f>INDEX('[1]Funding Tables'!P:P,MATCH('Board Ventilation Strate-PY'!B190,'[1]Funding Tables'!B:B,0))</f>
        <v>Windsor-Essex Catholic District School Board</v>
      </c>
    </row>
    <row r="191" spans="1:4" ht="31.5">
      <c r="A191">
        <f t="shared" si="2"/>
        <v>6</v>
      </c>
      <c r="B191" s="102">
        <v>37</v>
      </c>
      <c r="C191" s="107" t="s">
        <v>463</v>
      </c>
      <c r="D191" t="str">
        <f>INDEX('[1]Funding Tables'!P:P,MATCH('Board Ventilation Strate-PY'!B191,'[1]Funding Tables'!B:B,0))</f>
        <v>Windsor-Essex Catholic District School Board</v>
      </c>
    </row>
    <row r="192" spans="1:4" ht="30">
      <c r="A192">
        <f t="shared" si="2"/>
        <v>1</v>
      </c>
      <c r="B192" s="102" t="s">
        <v>15</v>
      </c>
      <c r="C192" s="103" t="s">
        <v>464</v>
      </c>
      <c r="D192" t="str">
        <f>INDEX('[1]Funding Tables'!P:P,MATCH('Board Ventilation Strate-PY'!B192,'[1]Funding Tables'!B:B,0))</f>
        <v>Nipissing-Parry Sound Catholic District School Board</v>
      </c>
    </row>
    <row r="193" spans="1:4">
      <c r="A193">
        <f t="shared" si="2"/>
        <v>2</v>
      </c>
      <c r="B193" s="102" t="s">
        <v>15</v>
      </c>
      <c r="C193" s="103" t="s">
        <v>465</v>
      </c>
      <c r="D193" t="str">
        <f>INDEX('[1]Funding Tables'!P:P,MATCH('Board Ventilation Strate-PY'!B193,'[1]Funding Tables'!B:B,0))</f>
        <v>Nipissing-Parry Sound Catholic District School Board</v>
      </c>
    </row>
    <row r="194" spans="1:4">
      <c r="A194">
        <f t="shared" si="2"/>
        <v>3</v>
      </c>
      <c r="B194" s="102" t="s">
        <v>15</v>
      </c>
      <c r="C194" s="103" t="s">
        <v>466</v>
      </c>
      <c r="D194" t="str">
        <f>INDEX('[1]Funding Tables'!P:P,MATCH('Board Ventilation Strate-PY'!B194,'[1]Funding Tables'!B:B,0))</f>
        <v>Nipissing-Parry Sound Catholic District School Board</v>
      </c>
    </row>
    <row r="195" spans="1:4">
      <c r="A195">
        <f t="shared" si="2"/>
        <v>4</v>
      </c>
      <c r="B195" s="102" t="s">
        <v>15</v>
      </c>
      <c r="C195" s="103" t="s">
        <v>467</v>
      </c>
      <c r="D195" t="str">
        <f>INDEX('[1]Funding Tables'!P:P,MATCH('Board Ventilation Strate-PY'!B195,'[1]Funding Tables'!B:B,0))</f>
        <v>Nipissing-Parry Sound Catholic District School Board</v>
      </c>
    </row>
    <row r="196" spans="1:4" ht="30">
      <c r="A196">
        <f t="shared" ref="A196:A259" si="3">IF(B196=B195,A195+1,1)</f>
        <v>1</v>
      </c>
      <c r="B196" s="102">
        <v>58</v>
      </c>
      <c r="C196" s="103" t="s">
        <v>468</v>
      </c>
      <c r="D196" t="str">
        <f>INDEX('[1]Funding Tables'!P:P,MATCH('Board Ventilation Strate-PY'!B196,'[1]Funding Tables'!B:B,0))</f>
        <v>Conseil scolaire Viamonde</v>
      </c>
    </row>
    <row r="197" spans="1:4" ht="30">
      <c r="A197">
        <f t="shared" si="3"/>
        <v>2</v>
      </c>
      <c r="B197" s="102">
        <v>58</v>
      </c>
      <c r="C197" s="103" t="s">
        <v>469</v>
      </c>
      <c r="D197" t="str">
        <f>INDEX('[1]Funding Tables'!P:P,MATCH('Board Ventilation Strate-PY'!B197,'[1]Funding Tables'!B:B,0))</f>
        <v>Conseil scolaire Viamonde</v>
      </c>
    </row>
    <row r="198" spans="1:4">
      <c r="A198">
        <f t="shared" si="3"/>
        <v>3</v>
      </c>
      <c r="B198" s="102">
        <v>58</v>
      </c>
      <c r="C198" s="103" t="s">
        <v>470</v>
      </c>
      <c r="D198" t="str">
        <f>INDEX('[1]Funding Tables'!P:P,MATCH('Board Ventilation Strate-PY'!B198,'[1]Funding Tables'!B:B,0))</f>
        <v>Conseil scolaire Viamonde</v>
      </c>
    </row>
    <row r="199" spans="1:4" ht="30">
      <c r="A199">
        <f t="shared" si="3"/>
        <v>4</v>
      </c>
      <c r="B199" s="102">
        <v>58</v>
      </c>
      <c r="C199" s="103" t="s">
        <v>471</v>
      </c>
      <c r="D199" t="str">
        <f>INDEX('[1]Funding Tables'!P:P,MATCH('Board Ventilation Strate-PY'!B199,'[1]Funding Tables'!B:B,0))</f>
        <v>Conseil scolaire Viamonde</v>
      </c>
    </row>
    <row r="200" spans="1:4" ht="30">
      <c r="A200">
        <f t="shared" si="3"/>
        <v>1</v>
      </c>
      <c r="B200" s="102">
        <v>11</v>
      </c>
      <c r="C200" s="104" t="s">
        <v>472</v>
      </c>
      <c r="D200" t="str">
        <f>INDEX('[1]Funding Tables'!P:P,MATCH('Board Ventilation Strate-PY'!B200,'[1]Funding Tables'!B:B,0))</f>
        <v>Thames Valley District School Board</v>
      </c>
    </row>
    <row r="201" spans="1:4" ht="30">
      <c r="A201">
        <f t="shared" si="3"/>
        <v>2</v>
      </c>
      <c r="B201" s="102">
        <v>11</v>
      </c>
      <c r="C201" s="104" t="s">
        <v>473</v>
      </c>
      <c r="D201" t="str">
        <f>INDEX('[1]Funding Tables'!P:P,MATCH('Board Ventilation Strate-PY'!B201,'[1]Funding Tables'!B:B,0))</f>
        <v>Thames Valley District School Board</v>
      </c>
    </row>
    <row r="202" spans="1:4" ht="45">
      <c r="A202">
        <f t="shared" si="3"/>
        <v>3</v>
      </c>
      <c r="B202" s="102">
        <v>11</v>
      </c>
      <c r="C202" s="104" t="s">
        <v>474</v>
      </c>
      <c r="D202" t="str">
        <f>INDEX('[1]Funding Tables'!P:P,MATCH('Board Ventilation Strate-PY'!B202,'[1]Funding Tables'!B:B,0))</f>
        <v>Thames Valley District School Board</v>
      </c>
    </row>
    <row r="203" spans="1:4">
      <c r="A203">
        <f t="shared" si="3"/>
        <v>4</v>
      </c>
      <c r="B203" s="102">
        <v>11</v>
      </c>
      <c r="C203" s="104" t="s">
        <v>475</v>
      </c>
      <c r="D203" t="str">
        <f>INDEX('[1]Funding Tables'!P:P,MATCH('Board Ventilation Strate-PY'!B203,'[1]Funding Tables'!B:B,0))</f>
        <v>Thames Valley District School Board</v>
      </c>
    </row>
    <row r="204" spans="1:4">
      <c r="A204">
        <f t="shared" si="3"/>
        <v>1</v>
      </c>
      <c r="B204" s="102">
        <v>51</v>
      </c>
      <c r="C204" s="103" t="s">
        <v>476</v>
      </c>
      <c r="D204" t="str">
        <f>INDEX('[1]Funding Tables'!P:P,MATCH('Board Ventilation Strate-PY'!B204,'[1]Funding Tables'!B:B,0))</f>
        <v>Brant Haldimand Norfolk Catholic District School Board</v>
      </c>
    </row>
    <row r="205" spans="1:4">
      <c r="A205">
        <f t="shared" si="3"/>
        <v>2</v>
      </c>
      <c r="B205" s="102">
        <v>51</v>
      </c>
      <c r="C205" s="103" t="s">
        <v>477</v>
      </c>
      <c r="D205" t="str">
        <f>INDEX('[1]Funding Tables'!P:P,MATCH('Board Ventilation Strate-PY'!B205,'[1]Funding Tables'!B:B,0))</f>
        <v>Brant Haldimand Norfolk Catholic District School Board</v>
      </c>
    </row>
    <row r="206" spans="1:4">
      <c r="A206">
        <f t="shared" si="3"/>
        <v>3</v>
      </c>
      <c r="B206" s="102">
        <v>51</v>
      </c>
      <c r="C206" s="103" t="s">
        <v>478</v>
      </c>
      <c r="D206" t="str">
        <f>INDEX('[1]Funding Tables'!P:P,MATCH('Board Ventilation Strate-PY'!B206,'[1]Funding Tables'!B:B,0))</f>
        <v>Brant Haldimand Norfolk Catholic District School Board</v>
      </c>
    </row>
    <row r="207" spans="1:4">
      <c r="A207">
        <f t="shared" si="3"/>
        <v>4</v>
      </c>
      <c r="B207" s="102">
        <v>51</v>
      </c>
      <c r="C207" s="103" t="s">
        <v>479</v>
      </c>
      <c r="D207" t="str">
        <f>INDEX('[1]Funding Tables'!P:P,MATCH('Board Ventilation Strate-PY'!B207,'[1]Funding Tables'!B:B,0))</f>
        <v>Brant Haldimand Norfolk Catholic District School Board</v>
      </c>
    </row>
    <row r="208" spans="1:4">
      <c r="A208">
        <f t="shared" si="3"/>
        <v>1</v>
      </c>
      <c r="B208" s="102">
        <v>52</v>
      </c>
      <c r="C208" s="103" t="s">
        <v>480</v>
      </c>
      <c r="D208" t="str">
        <f>INDEX('[1]Funding Tables'!P:P,MATCH('Board Ventilation Strate-PY'!B208,'[1]Funding Tables'!B:B,0))</f>
        <v>Eastern Ontario Catholic District School Board</v>
      </c>
    </row>
    <row r="209" spans="1:4">
      <c r="A209">
        <f t="shared" si="3"/>
        <v>2</v>
      </c>
      <c r="B209" s="102">
        <v>52</v>
      </c>
      <c r="C209" s="103" t="s">
        <v>481</v>
      </c>
      <c r="D209" t="str">
        <f>INDEX('[1]Funding Tables'!P:P,MATCH('Board Ventilation Strate-PY'!B209,'[1]Funding Tables'!B:B,0))</f>
        <v>Eastern Ontario Catholic District School Board</v>
      </c>
    </row>
    <row r="210" spans="1:4">
      <c r="A210">
        <f t="shared" si="3"/>
        <v>3</v>
      </c>
      <c r="B210" s="102">
        <v>52</v>
      </c>
      <c r="C210" s="103" t="s">
        <v>482</v>
      </c>
      <c r="D210" t="str">
        <f>INDEX('[1]Funding Tables'!P:P,MATCH('Board Ventilation Strate-PY'!B210,'[1]Funding Tables'!B:B,0))</f>
        <v>Eastern Ontario Catholic District School Board</v>
      </c>
    </row>
    <row r="211" spans="1:4">
      <c r="A211">
        <f t="shared" si="3"/>
        <v>4</v>
      </c>
      <c r="B211" s="102">
        <v>52</v>
      </c>
      <c r="C211" s="103" t="s">
        <v>483</v>
      </c>
      <c r="D211" t="str">
        <f>INDEX('[1]Funding Tables'!P:P,MATCH('Board Ventilation Strate-PY'!B211,'[1]Funding Tables'!B:B,0))</f>
        <v>Eastern Ontario Catholic District School Board</v>
      </c>
    </row>
    <row r="212" spans="1:4">
      <c r="A212">
        <f t="shared" si="3"/>
        <v>1</v>
      </c>
      <c r="B212" s="102">
        <v>47</v>
      </c>
      <c r="C212" s="103" t="s">
        <v>484</v>
      </c>
      <c r="D212" t="str">
        <f>INDEX('[1]Funding Tables'!P:P,MATCH('Board Ventilation Strate-PY'!B212,'[1]Funding Tables'!B:B,0))</f>
        <v>Hamilton-Wentworth Catholic District School Board</v>
      </c>
    </row>
    <row r="213" spans="1:4" ht="30">
      <c r="A213">
        <f t="shared" si="3"/>
        <v>2</v>
      </c>
      <c r="B213" s="102">
        <v>47</v>
      </c>
      <c r="C213" s="103" t="s">
        <v>485</v>
      </c>
      <c r="D213" t="str">
        <f>INDEX('[1]Funding Tables'!P:P,MATCH('Board Ventilation Strate-PY'!B213,'[1]Funding Tables'!B:B,0))</f>
        <v>Hamilton-Wentworth Catholic District School Board</v>
      </c>
    </row>
    <row r="214" spans="1:4">
      <c r="A214">
        <f t="shared" si="3"/>
        <v>3</v>
      </c>
      <c r="B214" s="102">
        <v>47</v>
      </c>
      <c r="C214" s="103" t="s">
        <v>486</v>
      </c>
      <c r="D214" t="str">
        <f>INDEX('[1]Funding Tables'!P:P,MATCH('Board Ventilation Strate-PY'!B214,'[1]Funding Tables'!B:B,0))</f>
        <v>Hamilton-Wentworth Catholic District School Board</v>
      </c>
    </row>
    <row r="215" spans="1:4" ht="30">
      <c r="A215">
        <f t="shared" si="3"/>
        <v>4</v>
      </c>
      <c r="B215" s="102">
        <v>47</v>
      </c>
      <c r="C215" s="103" t="s">
        <v>487</v>
      </c>
      <c r="D215" t="str">
        <f>INDEX('[1]Funding Tables'!P:P,MATCH('Board Ventilation Strate-PY'!B215,'[1]Funding Tables'!B:B,0))</f>
        <v>Hamilton-Wentworth Catholic District School Board</v>
      </c>
    </row>
    <row r="216" spans="1:4">
      <c r="A216">
        <f t="shared" si="3"/>
        <v>1</v>
      </c>
      <c r="B216" s="102">
        <v>54</v>
      </c>
      <c r="C216" s="103" t="s">
        <v>488</v>
      </c>
      <c r="D216" t="str">
        <f>INDEX('[1]Funding Tables'!P:P,MATCH('Board Ventilation Strate-PY'!B216,'[1]Funding Tables'!B:B,0))</f>
        <v>Renfrew County Catholic District School Board</v>
      </c>
    </row>
    <row r="217" spans="1:4">
      <c r="A217">
        <f t="shared" si="3"/>
        <v>2</v>
      </c>
      <c r="B217" s="102">
        <v>54</v>
      </c>
      <c r="C217" s="103" t="s">
        <v>489</v>
      </c>
      <c r="D217" t="str">
        <f>INDEX('[1]Funding Tables'!P:P,MATCH('Board Ventilation Strate-PY'!B217,'[1]Funding Tables'!B:B,0))</f>
        <v>Renfrew County Catholic District School Board</v>
      </c>
    </row>
    <row r="218" spans="1:4">
      <c r="A218">
        <f t="shared" si="3"/>
        <v>3</v>
      </c>
      <c r="B218" s="102">
        <v>54</v>
      </c>
      <c r="C218" s="103" t="s">
        <v>490</v>
      </c>
      <c r="D218" t="str">
        <f>INDEX('[1]Funding Tables'!P:P,MATCH('Board Ventilation Strate-PY'!B218,'[1]Funding Tables'!B:B,0))</f>
        <v>Renfrew County Catholic District School Board</v>
      </c>
    </row>
    <row r="219" spans="1:4">
      <c r="A219">
        <f t="shared" si="3"/>
        <v>4</v>
      </c>
      <c r="B219" s="102">
        <v>54</v>
      </c>
      <c r="C219" s="103" t="s">
        <v>491</v>
      </c>
      <c r="D219" t="str">
        <f>INDEX('[1]Funding Tables'!P:P,MATCH('Board Ventilation Strate-PY'!B219,'[1]Funding Tables'!B:B,0))</f>
        <v>Renfrew County Catholic District School Board</v>
      </c>
    </row>
    <row r="220" spans="1:4" ht="30">
      <c r="A220">
        <f t="shared" si="3"/>
        <v>1</v>
      </c>
      <c r="B220" s="102">
        <v>8</v>
      </c>
      <c r="C220" s="103" t="s">
        <v>492</v>
      </c>
      <c r="D220" t="str">
        <f>INDEX('[1]Funding Tables'!P:P,MATCH('Board Ventilation Strate-PY'!B220,'[1]Funding Tables'!B:B,0))</f>
        <v>Avon Maitland District School Board</v>
      </c>
    </row>
    <row r="221" spans="1:4" ht="45">
      <c r="A221">
        <f t="shared" si="3"/>
        <v>2</v>
      </c>
      <c r="B221" s="102">
        <v>8</v>
      </c>
      <c r="C221" s="103" t="s">
        <v>493</v>
      </c>
      <c r="D221" t="str">
        <f>INDEX('[1]Funding Tables'!P:P,MATCH('Board Ventilation Strate-PY'!B221,'[1]Funding Tables'!B:B,0))</f>
        <v>Avon Maitland District School Board</v>
      </c>
    </row>
    <row r="222" spans="1:4" ht="30">
      <c r="A222">
        <f t="shared" si="3"/>
        <v>3</v>
      </c>
      <c r="B222" s="102">
        <v>8</v>
      </c>
      <c r="C222" s="103" t="s">
        <v>494</v>
      </c>
      <c r="D222" t="str">
        <f>INDEX('[1]Funding Tables'!P:P,MATCH('Board Ventilation Strate-PY'!B222,'[1]Funding Tables'!B:B,0))</f>
        <v>Avon Maitland District School Board</v>
      </c>
    </row>
    <row r="223" spans="1:4" ht="30">
      <c r="A223">
        <f t="shared" si="3"/>
        <v>4</v>
      </c>
      <c r="B223" s="102">
        <v>8</v>
      </c>
      <c r="C223" s="103" t="s">
        <v>495</v>
      </c>
      <c r="D223" t="str">
        <f>INDEX('[1]Funding Tables'!P:P,MATCH('Board Ventilation Strate-PY'!B223,'[1]Funding Tables'!B:B,0))</f>
        <v>Avon Maitland District School Board</v>
      </c>
    </row>
    <row r="224" spans="1:4" ht="30">
      <c r="A224">
        <f t="shared" si="3"/>
        <v>1</v>
      </c>
      <c r="B224" s="102">
        <v>43</v>
      </c>
      <c r="C224" s="103" t="s">
        <v>496</v>
      </c>
      <c r="D224" t="str">
        <f>INDEX('[1]Funding Tables'!P:P,MATCH('Board Ventilation Strate-PY'!B224,'[1]Funding Tables'!B:B,0))</f>
        <v>Dufferin Peel Catholic District School Board</v>
      </c>
    </row>
    <row r="225" spans="1:4" ht="30">
      <c r="A225">
        <f t="shared" si="3"/>
        <v>2</v>
      </c>
      <c r="B225" s="102">
        <v>43</v>
      </c>
      <c r="C225" s="103" t="s">
        <v>497</v>
      </c>
      <c r="D225" t="str">
        <f>INDEX('[1]Funding Tables'!P:P,MATCH('Board Ventilation Strate-PY'!B225,'[1]Funding Tables'!B:B,0))</f>
        <v>Dufferin Peel Catholic District School Board</v>
      </c>
    </row>
    <row r="226" spans="1:4" ht="30">
      <c r="A226">
        <f t="shared" si="3"/>
        <v>3</v>
      </c>
      <c r="B226" s="102">
        <v>43</v>
      </c>
      <c r="C226" s="103" t="s">
        <v>498</v>
      </c>
      <c r="D226" t="str">
        <f>INDEX('[1]Funding Tables'!P:P,MATCH('Board Ventilation Strate-PY'!B226,'[1]Funding Tables'!B:B,0))</f>
        <v>Dufferin Peel Catholic District School Board</v>
      </c>
    </row>
    <row r="227" spans="1:4" ht="30">
      <c r="A227">
        <f t="shared" si="3"/>
        <v>4</v>
      </c>
      <c r="B227" s="102">
        <v>43</v>
      </c>
      <c r="C227" s="103" t="s">
        <v>499</v>
      </c>
      <c r="D227" t="str">
        <f>INDEX('[1]Funding Tables'!P:P,MATCH('Board Ventilation Strate-PY'!B227,'[1]Funding Tables'!B:B,0))</f>
        <v>Dufferin Peel Catholic District School Board</v>
      </c>
    </row>
    <row r="228" spans="1:4">
      <c r="A228">
        <f t="shared" si="3"/>
        <v>1</v>
      </c>
      <c r="B228" s="102">
        <v>48</v>
      </c>
      <c r="C228" s="103" t="s">
        <v>500</v>
      </c>
      <c r="D228" t="str">
        <f>INDEX('[1]Funding Tables'!P:P,MATCH('Board Ventilation Strate-PY'!B228,'[1]Funding Tables'!B:B,0))</f>
        <v>Wellington Catholic District School Board</v>
      </c>
    </row>
    <row r="229" spans="1:4">
      <c r="A229">
        <f t="shared" si="3"/>
        <v>2</v>
      </c>
      <c r="B229" s="102">
        <v>48</v>
      </c>
      <c r="C229" s="103" t="s">
        <v>501</v>
      </c>
      <c r="D229" t="str">
        <f>INDEX('[1]Funding Tables'!P:P,MATCH('Board Ventilation Strate-PY'!B229,'[1]Funding Tables'!B:B,0))</f>
        <v>Wellington Catholic District School Board</v>
      </c>
    </row>
    <row r="230" spans="1:4">
      <c r="A230">
        <f t="shared" si="3"/>
        <v>3</v>
      </c>
      <c r="B230" s="102">
        <v>48</v>
      </c>
      <c r="C230" s="103" t="s">
        <v>502</v>
      </c>
      <c r="D230" t="str">
        <f>INDEX('[1]Funding Tables'!P:P,MATCH('Board Ventilation Strate-PY'!B230,'[1]Funding Tables'!B:B,0))</f>
        <v>Wellington Catholic District School Board</v>
      </c>
    </row>
    <row r="231" spans="1:4">
      <c r="A231">
        <f t="shared" si="3"/>
        <v>4</v>
      </c>
      <c r="B231" s="102">
        <v>48</v>
      </c>
      <c r="C231" s="103" t="s">
        <v>503</v>
      </c>
      <c r="D231" t="str">
        <f>INDEX('[1]Funding Tables'!P:P,MATCH('Board Ventilation Strate-PY'!B231,'[1]Funding Tables'!B:B,0))</f>
        <v>Wellington Catholic District School Board</v>
      </c>
    </row>
    <row r="232" spans="1:4">
      <c r="A232">
        <f t="shared" si="3"/>
        <v>1</v>
      </c>
      <c r="B232" s="102">
        <v>2</v>
      </c>
      <c r="C232" s="103" t="s">
        <v>504</v>
      </c>
      <c r="D232" t="str">
        <f>INDEX('[1]Funding Tables'!P:P,MATCH('Board Ventilation Strate-PY'!B232,'[1]Funding Tables'!B:B,0))</f>
        <v>Algoma District School Board</v>
      </c>
    </row>
    <row r="233" spans="1:4">
      <c r="A233">
        <f t="shared" si="3"/>
        <v>2</v>
      </c>
      <c r="B233" s="102">
        <v>2</v>
      </c>
      <c r="C233" s="103" t="s">
        <v>505</v>
      </c>
      <c r="D233" t="str">
        <f>INDEX('[1]Funding Tables'!P:P,MATCH('Board Ventilation Strate-PY'!B233,'[1]Funding Tables'!B:B,0))</f>
        <v>Algoma District School Board</v>
      </c>
    </row>
    <row r="234" spans="1:4">
      <c r="A234">
        <f t="shared" si="3"/>
        <v>3</v>
      </c>
      <c r="B234" s="102">
        <v>2</v>
      </c>
      <c r="C234" s="103" t="s">
        <v>506</v>
      </c>
      <c r="D234" t="str">
        <f>INDEX('[1]Funding Tables'!P:P,MATCH('Board Ventilation Strate-PY'!B234,'[1]Funding Tables'!B:B,0))</f>
        <v>Algoma District School Board</v>
      </c>
    </row>
    <row r="235" spans="1:4">
      <c r="A235">
        <f t="shared" si="3"/>
        <v>4</v>
      </c>
      <c r="B235" s="102">
        <v>2</v>
      </c>
      <c r="C235" s="103" t="s">
        <v>507</v>
      </c>
      <c r="D235" t="str">
        <f>INDEX('[1]Funding Tables'!P:P,MATCH('Board Ventilation Strate-PY'!B235,'[1]Funding Tables'!B:B,0))</f>
        <v>Algoma District School Board</v>
      </c>
    </row>
    <row r="236" spans="1:4">
      <c r="A236">
        <f t="shared" si="3"/>
        <v>1</v>
      </c>
      <c r="B236" s="102">
        <v>15</v>
      </c>
      <c r="C236" s="103" t="s">
        <v>508</v>
      </c>
      <c r="D236" t="str">
        <f>INDEX('[1]Funding Tables'!P:P,MATCH('Board Ventilation Strate-PY'!B236,'[1]Funding Tables'!B:B,0))</f>
        <v>Trillium Lakelands District School Board</v>
      </c>
    </row>
    <row r="237" spans="1:4">
      <c r="A237">
        <f t="shared" si="3"/>
        <v>2</v>
      </c>
      <c r="B237" s="102">
        <v>15</v>
      </c>
      <c r="C237" s="103" t="s">
        <v>509</v>
      </c>
      <c r="D237" t="str">
        <f>INDEX('[1]Funding Tables'!P:P,MATCH('Board Ventilation Strate-PY'!B237,'[1]Funding Tables'!B:B,0))</f>
        <v>Trillium Lakelands District School Board</v>
      </c>
    </row>
    <row r="238" spans="1:4" ht="30">
      <c r="A238">
        <f t="shared" si="3"/>
        <v>3</v>
      </c>
      <c r="B238" s="102">
        <v>15</v>
      </c>
      <c r="C238" s="103" t="s">
        <v>510</v>
      </c>
      <c r="D238" t="str">
        <f>INDEX('[1]Funding Tables'!P:P,MATCH('Board Ventilation Strate-PY'!B238,'[1]Funding Tables'!B:B,0))</f>
        <v>Trillium Lakelands District School Board</v>
      </c>
    </row>
    <row r="239" spans="1:4">
      <c r="A239">
        <f t="shared" si="3"/>
        <v>4</v>
      </c>
      <c r="B239" s="102">
        <v>15</v>
      </c>
      <c r="C239" s="103" t="s">
        <v>511</v>
      </c>
      <c r="D239" t="str">
        <f>INDEX('[1]Funding Tables'!P:P,MATCH('Board Ventilation Strate-PY'!B239,'[1]Funding Tables'!B:B,0))</f>
        <v>Trillium Lakelands District School Board</v>
      </c>
    </row>
    <row r="240" spans="1:4" ht="30">
      <c r="A240">
        <f t="shared" si="3"/>
        <v>1</v>
      </c>
      <c r="B240" s="102">
        <v>19</v>
      </c>
      <c r="C240" s="103" t="s">
        <v>512</v>
      </c>
      <c r="D240" t="str">
        <f>INDEX('[1]Funding Tables'!P:P,MATCH('Board Ventilation Strate-PY'!B240,'[1]Funding Tables'!B:B,0))</f>
        <v>Peel District School Board</v>
      </c>
    </row>
    <row r="241" spans="1:4">
      <c r="A241">
        <f t="shared" si="3"/>
        <v>2</v>
      </c>
      <c r="B241" s="102">
        <v>19</v>
      </c>
      <c r="C241" s="103" t="s">
        <v>513</v>
      </c>
      <c r="D241" t="str">
        <f>INDEX('[1]Funding Tables'!P:P,MATCH('Board Ventilation Strate-PY'!B241,'[1]Funding Tables'!B:B,0))</f>
        <v>Peel District School Board</v>
      </c>
    </row>
    <row r="242" spans="1:4">
      <c r="A242">
        <f t="shared" si="3"/>
        <v>3</v>
      </c>
      <c r="B242" s="102">
        <v>19</v>
      </c>
      <c r="C242" s="103" t="s">
        <v>514</v>
      </c>
      <c r="D242" t="str">
        <f>INDEX('[1]Funding Tables'!P:P,MATCH('Board Ventilation Strate-PY'!B242,'[1]Funding Tables'!B:B,0))</f>
        <v>Peel District School Board</v>
      </c>
    </row>
    <row r="243" spans="1:4">
      <c r="A243">
        <f t="shared" si="3"/>
        <v>4</v>
      </c>
      <c r="B243" s="102">
        <v>19</v>
      </c>
      <c r="C243" s="103" t="s">
        <v>515</v>
      </c>
      <c r="D243" t="str">
        <f>INDEX('[1]Funding Tables'!P:P,MATCH('Board Ventilation Strate-PY'!B243,'[1]Funding Tables'!B:B,0))</f>
        <v>Peel District School Board</v>
      </c>
    </row>
    <row r="244" spans="1:4">
      <c r="A244">
        <f t="shared" si="3"/>
        <v>1</v>
      </c>
      <c r="B244" s="102">
        <v>12</v>
      </c>
      <c r="C244" s="103" t="s">
        <v>516</v>
      </c>
      <c r="D244" t="str">
        <f>INDEX('[1]Funding Tables'!P:P,MATCH('Board Ventilation Strate-PY'!B244,'[1]Funding Tables'!B:B,0))</f>
        <v>Toronto District School Board</v>
      </c>
    </row>
    <row r="245" spans="1:4">
      <c r="A245">
        <f t="shared" si="3"/>
        <v>2</v>
      </c>
      <c r="B245" s="102">
        <v>12</v>
      </c>
      <c r="C245" s="103" t="s">
        <v>517</v>
      </c>
      <c r="D245" t="str">
        <f>INDEX('[1]Funding Tables'!P:P,MATCH('Board Ventilation Strate-PY'!B245,'[1]Funding Tables'!B:B,0))</f>
        <v>Toronto District School Board</v>
      </c>
    </row>
    <row r="246" spans="1:4">
      <c r="A246">
        <f t="shared" si="3"/>
        <v>3</v>
      </c>
      <c r="B246" s="102">
        <v>12</v>
      </c>
      <c r="C246" s="103" t="s">
        <v>518</v>
      </c>
      <c r="D246" t="str">
        <f>INDEX('[1]Funding Tables'!P:P,MATCH('Board Ventilation Strate-PY'!B246,'[1]Funding Tables'!B:B,0))</f>
        <v>Toronto District School Board</v>
      </c>
    </row>
    <row r="247" spans="1:4">
      <c r="A247">
        <f t="shared" si="3"/>
        <v>4</v>
      </c>
      <c r="B247" s="102">
        <v>12</v>
      </c>
      <c r="C247" s="103" t="s">
        <v>519</v>
      </c>
      <c r="D247" t="str">
        <f>INDEX('[1]Funding Tables'!P:P,MATCH('Board Ventilation Strate-PY'!B247,'[1]Funding Tables'!B:B,0))</f>
        <v>Toronto District School Board</v>
      </c>
    </row>
    <row r="248" spans="1:4">
      <c r="A248">
        <f t="shared" si="3"/>
        <v>1</v>
      </c>
      <c r="B248" s="102" t="s">
        <v>17</v>
      </c>
      <c r="C248" s="103" t="s">
        <v>520</v>
      </c>
      <c r="D248" t="str">
        <f>INDEX('[1]Funding Tables'!P:P,MATCH('Board Ventilation Strate-PY'!B248,'[1]Funding Tables'!B:B,0))</f>
        <v>Kenora Catholic District School Board</v>
      </c>
    </row>
    <row r="249" spans="1:4">
      <c r="A249">
        <f t="shared" si="3"/>
        <v>2</v>
      </c>
      <c r="B249" s="102" t="s">
        <v>17</v>
      </c>
      <c r="C249" s="103" t="s">
        <v>521</v>
      </c>
      <c r="D249" t="str">
        <f>INDEX('[1]Funding Tables'!P:P,MATCH('Board Ventilation Strate-PY'!B249,'[1]Funding Tables'!B:B,0))</f>
        <v>Kenora Catholic District School Board</v>
      </c>
    </row>
    <row r="250" spans="1:4">
      <c r="A250">
        <f t="shared" si="3"/>
        <v>3</v>
      </c>
      <c r="B250" s="102" t="s">
        <v>17</v>
      </c>
      <c r="C250" s="103" t="s">
        <v>522</v>
      </c>
      <c r="D250" t="str">
        <f>INDEX('[1]Funding Tables'!P:P,MATCH('Board Ventilation Strate-PY'!B250,'[1]Funding Tables'!B:B,0))</f>
        <v>Kenora Catholic District School Board</v>
      </c>
    </row>
    <row r="251" spans="1:4">
      <c r="A251">
        <f t="shared" si="3"/>
        <v>4</v>
      </c>
      <c r="B251" s="102" t="s">
        <v>17</v>
      </c>
      <c r="C251" s="103" t="s">
        <v>523</v>
      </c>
      <c r="D251" t="str">
        <f>INDEX('[1]Funding Tables'!P:P,MATCH('Board Ventilation Strate-PY'!B251,'[1]Funding Tables'!B:B,0))</f>
        <v>Kenora Catholic District School Board</v>
      </c>
    </row>
    <row r="252" spans="1:4" ht="30">
      <c r="A252">
        <f t="shared" si="3"/>
        <v>1</v>
      </c>
      <c r="B252" s="102">
        <v>40</v>
      </c>
      <c r="C252" s="103" t="s">
        <v>524</v>
      </c>
      <c r="D252" t="str">
        <f>INDEX('[1]Funding Tables'!P:P,MATCH('Board Ventilation Strate-PY'!B252,'[1]Funding Tables'!B:B,0))</f>
        <v>Toronto Catholic District School Board</v>
      </c>
    </row>
    <row r="253" spans="1:4" ht="30">
      <c r="A253">
        <f t="shared" si="3"/>
        <v>2</v>
      </c>
      <c r="B253" s="102">
        <v>40</v>
      </c>
      <c r="C253" s="103" t="s">
        <v>525</v>
      </c>
      <c r="D253" t="str">
        <f>INDEX('[1]Funding Tables'!P:P,MATCH('Board Ventilation Strate-PY'!B253,'[1]Funding Tables'!B:B,0))</f>
        <v>Toronto Catholic District School Board</v>
      </c>
    </row>
    <row r="254" spans="1:4" ht="30">
      <c r="A254">
        <f t="shared" si="3"/>
        <v>3</v>
      </c>
      <c r="B254" s="102">
        <v>40</v>
      </c>
      <c r="C254" s="103" t="s">
        <v>526</v>
      </c>
      <c r="D254" t="str">
        <f>INDEX('[1]Funding Tables'!P:P,MATCH('Board Ventilation Strate-PY'!B254,'[1]Funding Tables'!B:B,0))</f>
        <v>Toronto Catholic District School Board</v>
      </c>
    </row>
    <row r="255" spans="1:4" ht="30">
      <c r="A255">
        <f t="shared" si="3"/>
        <v>4</v>
      </c>
      <c r="B255" s="102">
        <v>40</v>
      </c>
      <c r="C255" s="103" t="s">
        <v>527</v>
      </c>
      <c r="D255" t="str">
        <f>INDEX('[1]Funding Tables'!P:P,MATCH('Board Ventilation Strate-PY'!B255,'[1]Funding Tables'!B:B,0))</f>
        <v>Toronto Catholic District School Board</v>
      </c>
    </row>
    <row r="256" spans="1:4">
      <c r="A256">
        <f t="shared" si="3"/>
        <v>1</v>
      </c>
      <c r="B256" s="102">
        <v>55</v>
      </c>
      <c r="C256" s="103" t="s">
        <v>528</v>
      </c>
      <c r="D256" t="str">
        <f>INDEX('[1]Funding Tables'!P:P,MATCH('Board Ventilation Strate-PY'!B256,'[1]Funding Tables'!B:B,0))</f>
        <v>Algonquin and Lakeshore Catholic District School Board</v>
      </c>
    </row>
    <row r="257" spans="1:4" ht="30">
      <c r="A257">
        <f t="shared" si="3"/>
        <v>2</v>
      </c>
      <c r="B257" s="102">
        <v>55</v>
      </c>
      <c r="C257" s="103" t="s">
        <v>529</v>
      </c>
      <c r="D257" t="str">
        <f>INDEX('[1]Funding Tables'!P:P,MATCH('Board Ventilation Strate-PY'!B257,'[1]Funding Tables'!B:B,0))</f>
        <v>Algonquin and Lakeshore Catholic District School Board</v>
      </c>
    </row>
    <row r="258" spans="1:4">
      <c r="A258">
        <f t="shared" si="3"/>
        <v>3</v>
      </c>
      <c r="B258" s="102">
        <v>55</v>
      </c>
      <c r="C258" s="103" t="s">
        <v>530</v>
      </c>
      <c r="D258" t="str">
        <f>INDEX('[1]Funding Tables'!P:P,MATCH('Board Ventilation Strate-PY'!B258,'[1]Funding Tables'!B:B,0))</f>
        <v>Algonquin and Lakeshore Catholic District School Board</v>
      </c>
    </row>
    <row r="259" spans="1:4" ht="30">
      <c r="A259">
        <f t="shared" si="3"/>
        <v>4</v>
      </c>
      <c r="B259" s="102">
        <v>55</v>
      </c>
      <c r="C259" s="103" t="s">
        <v>531</v>
      </c>
      <c r="D259" t="str">
        <f>INDEX('[1]Funding Tables'!P:P,MATCH('Board Ventilation Strate-PY'!B259,'[1]Funding Tables'!B:B,0))</f>
        <v>Algonquin and Lakeshore Catholic District School Board</v>
      </c>
    </row>
    <row r="260" spans="1:4">
      <c r="A260">
        <f t="shared" ref="A260:A291" si="4">IF(B260=B259,A259+1,1)</f>
        <v>1</v>
      </c>
      <c r="B260" s="102">
        <v>102</v>
      </c>
      <c r="C260" s="103" t="s">
        <v>532</v>
      </c>
      <c r="D260" t="str">
        <f>INDEX('[1]Funding Tables'!P:P,MATCH('Board Ventilation Strate-PY'!B260,'[1]Funding Tables'!B:B,0))</f>
        <v>Moosonee District School Area Board</v>
      </c>
    </row>
    <row r="261" spans="1:4">
      <c r="A261">
        <f t="shared" si="4"/>
        <v>2</v>
      </c>
      <c r="B261" s="102">
        <v>102</v>
      </c>
      <c r="C261" s="103" t="s">
        <v>431</v>
      </c>
      <c r="D261" t="str">
        <f>INDEX('[1]Funding Tables'!P:P,MATCH('Board Ventilation Strate-PY'!B261,'[1]Funding Tables'!B:B,0))</f>
        <v>Moosonee District School Area Board</v>
      </c>
    </row>
    <row r="262" spans="1:4">
      <c r="A262">
        <f t="shared" si="4"/>
        <v>3</v>
      </c>
      <c r="B262" s="102">
        <v>102</v>
      </c>
      <c r="C262" s="103" t="s">
        <v>432</v>
      </c>
      <c r="D262" t="str">
        <f>INDEX('[1]Funding Tables'!P:P,MATCH('Board Ventilation Strate-PY'!B262,'[1]Funding Tables'!B:B,0))</f>
        <v>Moosonee District School Area Board</v>
      </c>
    </row>
    <row r="263" spans="1:4">
      <c r="A263">
        <f t="shared" si="4"/>
        <v>4</v>
      </c>
      <c r="B263" s="102">
        <v>102</v>
      </c>
      <c r="C263" s="103" t="s">
        <v>533</v>
      </c>
      <c r="D263" t="str">
        <f>INDEX('[1]Funding Tables'!P:P,MATCH('Board Ventilation Strate-PY'!B263,'[1]Funding Tables'!B:B,0))</f>
        <v>Moosonee District School Area Board</v>
      </c>
    </row>
    <row r="264" spans="1:4" ht="30">
      <c r="A264">
        <f t="shared" si="4"/>
        <v>1</v>
      </c>
      <c r="B264" s="102">
        <v>20</v>
      </c>
      <c r="C264" s="103" t="s">
        <v>534</v>
      </c>
      <c r="D264" t="str">
        <f>INDEX('[1]Funding Tables'!P:P,MATCH('Board Ventilation Strate-PY'!B264,'[1]Funding Tables'!B:B,0))</f>
        <v>Halton District School Board</v>
      </c>
    </row>
    <row r="265" spans="1:4">
      <c r="A265">
        <f t="shared" si="4"/>
        <v>2</v>
      </c>
      <c r="B265" s="102">
        <v>20</v>
      </c>
      <c r="C265" s="103" t="s">
        <v>535</v>
      </c>
      <c r="D265" t="str">
        <f>INDEX('[1]Funding Tables'!P:P,MATCH('Board Ventilation Strate-PY'!B265,'[1]Funding Tables'!B:B,0))</f>
        <v>Halton District School Board</v>
      </c>
    </row>
    <row r="266" spans="1:4" ht="30">
      <c r="A266">
        <f t="shared" si="4"/>
        <v>3</v>
      </c>
      <c r="B266" s="102">
        <v>20</v>
      </c>
      <c r="C266" s="103" t="s">
        <v>536</v>
      </c>
      <c r="D266" t="str">
        <f>INDEX('[1]Funding Tables'!P:P,MATCH('Board Ventilation Strate-PY'!B266,'[1]Funding Tables'!B:B,0))</f>
        <v>Halton District School Board</v>
      </c>
    </row>
    <row r="267" spans="1:4" ht="30">
      <c r="A267">
        <f t="shared" si="4"/>
        <v>4</v>
      </c>
      <c r="B267" s="102">
        <v>20</v>
      </c>
      <c r="C267" s="103" t="s">
        <v>537</v>
      </c>
      <c r="D267" t="str">
        <f>INDEX('[1]Funding Tables'!P:P,MATCH('Board Ventilation Strate-PY'!B267,'[1]Funding Tables'!B:B,0))</f>
        <v>Halton District School Board</v>
      </c>
    </row>
    <row r="268" spans="1:4">
      <c r="A268">
        <f t="shared" si="4"/>
        <v>1</v>
      </c>
      <c r="B268" s="102">
        <v>4</v>
      </c>
      <c r="C268" s="103" t="s">
        <v>538</v>
      </c>
      <c r="D268" t="str">
        <f>INDEX('[1]Funding Tables'!P:P,MATCH('Board Ventilation Strate-PY'!B268,'[1]Funding Tables'!B:B,0))</f>
        <v>Near North District School Board</v>
      </c>
    </row>
    <row r="269" spans="1:4" ht="45">
      <c r="A269">
        <f t="shared" si="4"/>
        <v>2</v>
      </c>
      <c r="B269" s="102">
        <v>4</v>
      </c>
      <c r="C269" s="103" t="s">
        <v>539</v>
      </c>
      <c r="D269" t="str">
        <f>INDEX('[1]Funding Tables'!P:P,MATCH('Board Ventilation Strate-PY'!B269,'[1]Funding Tables'!B:B,0))</f>
        <v>Near North District School Board</v>
      </c>
    </row>
    <row r="270" spans="1:4" ht="30">
      <c r="A270">
        <f t="shared" si="4"/>
        <v>3</v>
      </c>
      <c r="B270" s="102">
        <v>4</v>
      </c>
      <c r="C270" s="103" t="s">
        <v>540</v>
      </c>
      <c r="D270" t="str">
        <f>INDEX('[1]Funding Tables'!P:P,MATCH('Board Ventilation Strate-PY'!B270,'[1]Funding Tables'!B:B,0))</f>
        <v>Near North District School Board</v>
      </c>
    </row>
    <row r="271" spans="1:4" ht="30">
      <c r="A271">
        <f t="shared" si="4"/>
        <v>4</v>
      </c>
      <c r="B271" s="102">
        <v>4</v>
      </c>
      <c r="C271" s="103" t="s">
        <v>541</v>
      </c>
      <c r="D271" t="str">
        <f>INDEX('[1]Funding Tables'!P:P,MATCH('Board Ventilation Strate-PY'!B271,'[1]Funding Tables'!B:B,0))</f>
        <v>Near North District School Board</v>
      </c>
    </row>
    <row r="272" spans="1:4">
      <c r="A272">
        <f t="shared" si="4"/>
        <v>1</v>
      </c>
      <c r="B272" s="102" t="s">
        <v>13</v>
      </c>
      <c r="C272" s="103" t="s">
        <v>542</v>
      </c>
      <c r="D272" t="str">
        <f>INDEX('[1]Funding Tables'!P:P,MATCH('Board Ventilation Strate-PY'!B272,'[1]Funding Tables'!B:B,0))</f>
        <v>Superior-Greenstone District School Board</v>
      </c>
    </row>
    <row r="273" spans="1:4">
      <c r="A273">
        <f t="shared" si="4"/>
        <v>2</v>
      </c>
      <c r="B273" s="102" t="s">
        <v>13</v>
      </c>
      <c r="C273" s="103" t="s">
        <v>543</v>
      </c>
      <c r="D273" t="str">
        <f>INDEX('[1]Funding Tables'!P:P,MATCH('Board Ventilation Strate-PY'!B273,'[1]Funding Tables'!B:B,0))</f>
        <v>Superior-Greenstone District School Board</v>
      </c>
    </row>
    <row r="274" spans="1:4" ht="30">
      <c r="A274">
        <f t="shared" si="4"/>
        <v>3</v>
      </c>
      <c r="B274" s="102" t="s">
        <v>13</v>
      </c>
      <c r="C274" s="103" t="s">
        <v>544</v>
      </c>
      <c r="D274" t="str">
        <f>INDEX('[1]Funding Tables'!P:P,MATCH('Board Ventilation Strate-PY'!B274,'[1]Funding Tables'!B:B,0))</f>
        <v>Superior-Greenstone District School Board</v>
      </c>
    </row>
    <row r="275" spans="1:4">
      <c r="A275">
        <f t="shared" si="4"/>
        <v>4</v>
      </c>
      <c r="B275" s="102" t="s">
        <v>13</v>
      </c>
      <c r="C275" s="103" t="s">
        <v>545</v>
      </c>
      <c r="D275" t="str">
        <f>INDEX('[1]Funding Tables'!P:P,MATCH('Board Ventilation Strate-PY'!B275,'[1]Funding Tables'!B:B,0))</f>
        <v>Superior-Greenstone District School Board</v>
      </c>
    </row>
    <row r="276" spans="1:4" ht="30">
      <c r="A276">
        <f t="shared" si="4"/>
        <v>1</v>
      </c>
      <c r="B276" s="102">
        <v>62</v>
      </c>
      <c r="C276" s="103" t="s">
        <v>546</v>
      </c>
      <c r="D276" t="str">
        <f>INDEX('[1]Funding Tables'!P:P,MATCH('Board Ventilation Strate-PY'!B276,'[1]Funding Tables'!B:B,0))</f>
        <v>Conseil scolaire de district catholique des Aurores boréales</v>
      </c>
    </row>
    <row r="277" spans="1:4" ht="30">
      <c r="A277">
        <f t="shared" si="4"/>
        <v>2</v>
      </c>
      <c r="B277" s="102">
        <v>62</v>
      </c>
      <c r="C277" s="103" t="s">
        <v>547</v>
      </c>
      <c r="D277" t="str">
        <f>INDEX('[1]Funding Tables'!P:P,MATCH('Board Ventilation Strate-PY'!B277,'[1]Funding Tables'!B:B,0))</f>
        <v>Conseil scolaire de district catholique des Aurores boréales</v>
      </c>
    </row>
    <row r="278" spans="1:4" ht="30">
      <c r="A278">
        <f t="shared" si="4"/>
        <v>3</v>
      </c>
      <c r="B278" s="102">
        <v>62</v>
      </c>
      <c r="C278" s="103" t="s">
        <v>548</v>
      </c>
      <c r="D278" t="str">
        <f>INDEX('[1]Funding Tables'!P:P,MATCH('Board Ventilation Strate-PY'!B278,'[1]Funding Tables'!B:B,0))</f>
        <v>Conseil scolaire de district catholique des Aurores boréales</v>
      </c>
    </row>
    <row r="279" spans="1:4" ht="30">
      <c r="A279">
        <f t="shared" si="4"/>
        <v>4</v>
      </c>
      <c r="B279" s="102">
        <v>62</v>
      </c>
      <c r="C279" s="103" t="s">
        <v>549</v>
      </c>
      <c r="D279" t="str">
        <f>INDEX('[1]Funding Tables'!P:P,MATCH('Board Ventilation Strate-PY'!B279,'[1]Funding Tables'!B:B,0))</f>
        <v>Conseil scolaire de district catholique des Aurores boréales</v>
      </c>
    </row>
    <row r="280" spans="1:4">
      <c r="A280">
        <f t="shared" si="4"/>
        <v>1</v>
      </c>
      <c r="B280" s="102">
        <v>7</v>
      </c>
      <c r="C280" s="103" t="s">
        <v>550</v>
      </c>
      <c r="D280" t="str">
        <f>INDEX('[1]Funding Tables'!P:P,MATCH('Board Ventilation Strate-PY'!B280,'[1]Funding Tables'!B:B,0))</f>
        <v>Bluewater District School Board</v>
      </c>
    </row>
    <row r="281" spans="1:4">
      <c r="A281">
        <f t="shared" si="4"/>
        <v>2</v>
      </c>
      <c r="B281" s="102">
        <v>7</v>
      </c>
      <c r="C281" s="103" t="s">
        <v>551</v>
      </c>
      <c r="D281" t="str">
        <f>INDEX('[1]Funding Tables'!P:P,MATCH('Board Ventilation Strate-PY'!B281,'[1]Funding Tables'!B:B,0))</f>
        <v>Bluewater District School Board</v>
      </c>
    </row>
    <row r="282" spans="1:4">
      <c r="A282">
        <f t="shared" si="4"/>
        <v>3</v>
      </c>
      <c r="B282" s="102">
        <v>7</v>
      </c>
      <c r="C282" s="103" t="s">
        <v>552</v>
      </c>
      <c r="D282" t="str">
        <f>INDEX('[1]Funding Tables'!P:P,MATCH('Board Ventilation Strate-PY'!B282,'[1]Funding Tables'!B:B,0))</f>
        <v>Bluewater District School Board</v>
      </c>
    </row>
    <row r="283" spans="1:4">
      <c r="A283">
        <f t="shared" si="4"/>
        <v>4</v>
      </c>
      <c r="B283" s="102">
        <v>7</v>
      </c>
      <c r="C283" s="103" t="s">
        <v>553</v>
      </c>
      <c r="D283" t="str">
        <f>INDEX('[1]Funding Tables'!P:P,MATCH('Board Ventilation Strate-PY'!B283,'[1]Funding Tables'!B:B,0))</f>
        <v>Bluewater District School Board</v>
      </c>
    </row>
    <row r="284" spans="1:4">
      <c r="A284">
        <f t="shared" si="4"/>
        <v>1</v>
      </c>
      <c r="B284" s="102">
        <v>101</v>
      </c>
      <c r="C284" s="103" t="s">
        <v>554</v>
      </c>
      <c r="D284" t="str">
        <f>INDEX('[1]Funding Tables'!P:P,MATCH('Board Ventilation Strate-PY'!B284,'[1]Funding Tables'!B:B,0))</f>
        <v>Moose Factory Island District School Area Board</v>
      </c>
    </row>
    <row r="285" spans="1:4">
      <c r="A285">
        <f t="shared" si="4"/>
        <v>2</v>
      </c>
      <c r="B285" s="102">
        <v>101</v>
      </c>
      <c r="C285" s="103" t="s">
        <v>555</v>
      </c>
      <c r="D285" t="str">
        <f>INDEX('[1]Funding Tables'!P:P,MATCH('Board Ventilation Strate-PY'!B285,'[1]Funding Tables'!B:B,0))</f>
        <v>Moose Factory Island District School Area Board</v>
      </c>
    </row>
    <row r="286" spans="1:4">
      <c r="A286">
        <f t="shared" si="4"/>
        <v>3</v>
      </c>
      <c r="B286" s="102">
        <v>101</v>
      </c>
      <c r="C286" s="103" t="s">
        <v>556</v>
      </c>
      <c r="D286" t="str">
        <f>INDEX('[1]Funding Tables'!P:P,MATCH('Board Ventilation Strate-PY'!B286,'[1]Funding Tables'!B:B,0))</f>
        <v>Moose Factory Island District School Area Board</v>
      </c>
    </row>
    <row r="287" spans="1:4">
      <c r="A287">
        <f t="shared" si="4"/>
        <v>4</v>
      </c>
      <c r="B287" s="102">
        <v>101</v>
      </c>
      <c r="C287" s="103" t="s">
        <v>557</v>
      </c>
      <c r="D287" t="str">
        <f>INDEX('[1]Funding Tables'!P:P,MATCH('Board Ventilation Strate-PY'!B287,'[1]Funding Tables'!B:B,0))</f>
        <v>Moose Factory Island District School Area Board</v>
      </c>
    </row>
    <row r="288" spans="1:4">
      <c r="A288">
        <f t="shared" si="4"/>
        <v>1</v>
      </c>
      <c r="B288" s="112">
        <v>64</v>
      </c>
      <c r="C288" s="113" t="s">
        <v>558</v>
      </c>
      <c r="D288" t="s">
        <v>214</v>
      </c>
    </row>
    <row r="289" spans="1:4">
      <c r="A289">
        <f t="shared" si="4"/>
        <v>2</v>
      </c>
      <c r="B289" s="112">
        <v>64</v>
      </c>
      <c r="C289" s="113" t="s">
        <v>559</v>
      </c>
      <c r="D289" t="s">
        <v>214</v>
      </c>
    </row>
    <row r="290" spans="1:4">
      <c r="A290">
        <f t="shared" si="4"/>
        <v>3</v>
      </c>
      <c r="B290" s="112">
        <v>64</v>
      </c>
      <c r="C290" s="113" t="s">
        <v>560</v>
      </c>
      <c r="D290" t="s">
        <v>214</v>
      </c>
    </row>
    <row r="291" spans="1:4">
      <c r="A291">
        <f t="shared" si="4"/>
        <v>4</v>
      </c>
      <c r="B291" s="112">
        <v>64</v>
      </c>
      <c r="C291" s="113" t="s">
        <v>561</v>
      </c>
      <c r="D291" t="s">
        <v>214</v>
      </c>
    </row>
  </sheetData>
  <autoFilter ref="B1:C291"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FD8BA70D-160D-45FE-B2F1-B2308693440E}"/>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290961A9F2644C9F25292A4B18A071" ma:contentTypeVersion="8" ma:contentTypeDescription="Create a new document." ma:contentTypeScope="" ma:versionID="bbd8acf77038c39be07031bbc1762442">
  <xsd:schema xmlns:xsd="http://www.w3.org/2001/XMLSchema" xmlns:xs="http://www.w3.org/2001/XMLSchema" xmlns:p="http://schemas.microsoft.com/office/2006/metadata/properties" xmlns:ns3="a40d4fbf-d14b-4b79-8db4-8c77ece2ea1d" targetNamespace="http://schemas.microsoft.com/office/2006/metadata/properties" ma:root="true" ma:fieldsID="14302c4387b62c4c341f25db00571df3" ns3:_="">
    <xsd:import namespace="a40d4fbf-d14b-4b79-8db4-8c77ece2ea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d4fbf-d14b-4b79-8db4-8c77ece2ea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E3BFB6-99B9-41E0-8906-2998451C0E16}">
  <ds:schemaRefs>
    <ds:schemaRef ds:uri="http://schemas.microsoft.com/sharepoint/v3/contenttype/forms"/>
  </ds:schemaRefs>
</ds:datastoreItem>
</file>

<file path=customXml/itemProps2.xml><?xml version="1.0" encoding="utf-8"?>
<ds:datastoreItem xmlns:ds="http://schemas.openxmlformats.org/officeDocument/2006/customXml" ds:itemID="{A25A2792-4BEF-4CEB-B44E-8083C71E7605}">
  <ds:schemaRefs>
    <ds:schemaRef ds:uri="http://purl.org/dc/terms/"/>
    <ds:schemaRef ds:uri="http://www.w3.org/XML/1998/namespace"/>
    <ds:schemaRef ds:uri="http://purl.org/dc/elements/1.1/"/>
    <ds:schemaRef ds:uri="http://purl.org/dc/dcmitype/"/>
    <ds:schemaRef ds:uri="http://schemas.microsoft.com/office/infopath/2007/PartnerControls"/>
    <ds:schemaRef ds:uri="http://schemas.microsoft.com/office/2006/documentManagement/types"/>
    <ds:schemaRef ds:uri="a40d4fbf-d14b-4b79-8db4-8c77ece2ea1d"/>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E7660CE-3150-434F-A017-D6061E875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d4fbf-d14b-4b79-8db4-8c77ece2e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1. Stratégie de ventilation</vt:lpstr>
      <vt:lpstr>2. Investissements du conseil</vt:lpstr>
      <vt:lpstr>3. Tableau de bord de l’école</vt:lpstr>
      <vt:lpstr>4. Feuille pour le conseil</vt:lpstr>
      <vt:lpstr>5. Feuille pour les écoles</vt:lpstr>
      <vt:lpstr>données sur les projets</vt:lpstr>
      <vt:lpstr>Funding Tables</vt:lpstr>
      <vt:lpstr>Board Ventilation Strate-PY</vt:lpstr>
      <vt:lpstr>School_Name</vt:lpstr>
      <vt:lpstr>'Funding Tables'!Ventilation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Michel Séguin</cp:lastModifiedBy>
  <cp:lastPrinted>2022-08-03T20:53:54Z</cp:lastPrinted>
  <dcterms:created xsi:type="dcterms:W3CDTF">2021-08-03T14:52:18Z</dcterms:created>
  <dcterms:modified xsi:type="dcterms:W3CDTF">2022-08-22T14:32:41Z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0x0101003F290961A9F2644C9F25292A4B18A071</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ies>
</file>